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Aguas del Huila\2026\INDICADORES DE GESTION\INDICADORES DE GESTION 2025\"/>
    </mc:Choice>
  </mc:AlternateContent>
  <xr:revisionPtr revIDLastSave="0" documentId="13_ncr:1_{8AAA6CEB-D5A0-4D8F-9885-5531F55642EB}" xr6:coauthVersionLast="47" xr6:coauthVersionMax="47" xr10:uidLastSave="{00000000-0000-0000-0000-000000000000}"/>
  <workbookProtection workbookAlgorithmName="SHA-512" workbookHashValue="OvbBOVLQ9plhW+vWs3v4hyJjWCfroT09Ek8gVC04dZlA6Qpmkb6oQrXcllIjgGU881T/yglwirIWH1DI7TyrvA==" workbookSaltValue="m6udbosvHmMgQR+r18biNQ==" workbookSpinCount="100000" lockStructure="1"/>
  <bookViews>
    <workbookView xWindow="-120" yWindow="-120" windowWidth="20730" windowHeight="11040" firstSheet="1" activeTab="1" xr2:uid="{00000000-000D-0000-FFFF-FFFF00000000}"/>
  </bookViews>
  <sheets>
    <sheet name="SET SP Sta.Mría" sheetId="1" r:id="rId1"/>
    <sheet name="01" sheetId="55" r:id="rId2"/>
    <sheet name="02" sheetId="56" r:id="rId3"/>
    <sheet name="03" sheetId="60" r:id="rId4"/>
    <sheet name="04" sheetId="61" r:id="rId5"/>
    <sheet name="05" sheetId="62" r:id="rId6"/>
    <sheet name="06" sheetId="36" r:id="rId7"/>
    <sheet name="07" sheetId="38" r:id="rId8"/>
    <sheet name="08" sheetId="58" r:id="rId9"/>
    <sheet name="09" sheetId="59" r:id="rId10"/>
    <sheet name="10" sheetId="63" r:id="rId11"/>
    <sheet name="11" sheetId="64" r:id="rId12"/>
    <sheet name="12" sheetId="65" r:id="rId13"/>
    <sheet name="13" sheetId="68" r:id="rId14"/>
    <sheet name="14" sheetId="66" r:id="rId15"/>
    <sheet name="STA MARIA2020" sheetId="69" r:id="rId16"/>
  </sheets>
  <definedNames>
    <definedName name="_xlnm.Print_Area" localSheetId="15">'STA MARIA2020'!$A$1:$I$95</definedName>
    <definedName name="_xlnm.Print_Titles" localSheetId="0">'SET SP Sta.Mría'!$1:$7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69" l="1"/>
  <c r="G20" i="69"/>
  <c r="G16" i="69"/>
  <c r="G14" i="69"/>
  <c r="F17" i="69"/>
  <c r="F15" i="69"/>
  <c r="F21" i="69"/>
  <c r="F23" i="69"/>
  <c r="F22" i="69"/>
  <c r="F20" i="69"/>
  <c r="F16" i="69"/>
  <c r="F14" i="69"/>
  <c r="E23" i="69"/>
  <c r="E21" i="69"/>
  <c r="E17" i="69"/>
  <c r="E15" i="69"/>
  <c r="E16" i="69"/>
  <c r="E14" i="69"/>
  <c r="E22" i="69"/>
  <c r="E20" i="69"/>
  <c r="D23" i="69"/>
  <c r="D21" i="69"/>
  <c r="D17" i="69"/>
  <c r="D15" i="69"/>
  <c r="D22" i="69"/>
  <c r="D20" i="69"/>
  <c r="D16" i="69"/>
  <c r="D14" i="69"/>
  <c r="G11" i="69"/>
  <c r="G10" i="69"/>
  <c r="F11" i="69"/>
  <c r="F10" i="69"/>
  <c r="E11" i="69"/>
  <c r="E10" i="69"/>
  <c r="D11" i="69"/>
  <c r="D10" i="69"/>
  <c r="P38" i="69"/>
  <c r="O23" i="69"/>
  <c r="O21" i="69"/>
  <c r="O17" i="69"/>
  <c r="O15" i="69"/>
  <c r="O22" i="69" l="1"/>
  <c r="O20" i="69"/>
  <c r="O16" i="69"/>
  <c r="O14" i="69"/>
  <c r="O11" i="69" l="1"/>
  <c r="O10" i="69"/>
  <c r="P24" i="69" l="1"/>
  <c r="P11" i="69" l="1"/>
  <c r="P15" i="69" l="1"/>
  <c r="P16" i="69"/>
  <c r="P17" i="69"/>
  <c r="P18" i="69"/>
  <c r="P19" i="69"/>
  <c r="P14" i="69"/>
  <c r="P10" i="69" l="1"/>
  <c r="P9" i="69"/>
  <c r="G63" i="69" l="1"/>
  <c r="G62" i="69"/>
  <c r="G61" i="69"/>
  <c r="G60" i="69"/>
  <c r="G59" i="69"/>
  <c r="G58" i="69"/>
  <c r="K57" i="69" l="1"/>
  <c r="L57" i="69"/>
  <c r="M57" i="69"/>
  <c r="M53" i="69"/>
  <c r="L27" i="69"/>
  <c r="L26" i="69"/>
  <c r="L28" i="69"/>
  <c r="L30" i="69"/>
  <c r="L31" i="69"/>
  <c r="L29" i="69" l="1"/>
  <c r="L33" i="69" s="1"/>
  <c r="L32" i="69"/>
  <c r="J28" i="69" l="1"/>
  <c r="J31" i="69"/>
  <c r="J29" i="69"/>
  <c r="J30" i="69"/>
  <c r="J27" i="69"/>
  <c r="J33" i="69" l="1"/>
  <c r="J26" i="69"/>
  <c r="J32" i="69" s="1"/>
  <c r="H57" i="69" l="1"/>
  <c r="H54" i="69"/>
  <c r="D57" i="69" l="1"/>
  <c r="D43" i="69" l="1"/>
  <c r="E70" i="69" l="1"/>
  <c r="F70" i="69"/>
  <c r="G70" i="69"/>
  <c r="H70" i="69"/>
  <c r="I70" i="69"/>
  <c r="J70" i="69"/>
  <c r="K70" i="69"/>
  <c r="L70" i="69"/>
  <c r="M70" i="69"/>
  <c r="N70" i="69"/>
  <c r="O70" i="69"/>
  <c r="D70" i="69"/>
  <c r="H47" i="69" l="1"/>
  <c r="I47" i="69"/>
  <c r="J47" i="69"/>
  <c r="K47" i="69"/>
  <c r="L47" i="69"/>
  <c r="M47" i="69"/>
  <c r="N47" i="69"/>
  <c r="O47" i="69"/>
  <c r="I46" i="69"/>
  <c r="J46" i="69"/>
  <c r="K46" i="69"/>
  <c r="L46" i="69"/>
  <c r="M46" i="69"/>
  <c r="N46" i="69"/>
  <c r="O46" i="69"/>
  <c r="H44" i="69"/>
  <c r="I44" i="69"/>
  <c r="J44" i="69"/>
  <c r="K44" i="69"/>
  <c r="L44" i="69"/>
  <c r="M44" i="69"/>
  <c r="N44" i="69"/>
  <c r="O44" i="69"/>
  <c r="I43" i="69"/>
  <c r="J43" i="69"/>
  <c r="K43" i="69"/>
  <c r="L43" i="69"/>
  <c r="M43" i="69"/>
  <c r="N43" i="69"/>
  <c r="O43" i="69"/>
  <c r="A18" i="56"/>
  <c r="A18" i="60" s="1"/>
  <c r="A18" i="61" s="1"/>
  <c r="A18" i="62" s="1"/>
  <c r="A18" i="36" s="1"/>
  <c r="A18" i="38" s="1"/>
  <c r="A18" i="58" s="1"/>
  <c r="A18" i="59" s="1"/>
  <c r="A18" i="63" s="1"/>
  <c r="A18" i="64" s="1"/>
  <c r="A18" i="65" s="1"/>
  <c r="A18" i="68" s="1"/>
  <c r="A18" i="66" s="1"/>
  <c r="A15" i="56"/>
  <c r="A15" i="60" s="1"/>
  <c r="A15" i="61" s="1"/>
  <c r="A15" i="62" s="1"/>
  <c r="A15" i="36" s="1"/>
  <c r="A15" i="38" s="1"/>
  <c r="A15" i="58" s="1"/>
  <c r="A15" i="59" s="1"/>
  <c r="A15" i="63" s="1"/>
  <c r="A15" i="64" s="1"/>
  <c r="A15" i="65" s="1"/>
  <c r="A15" i="68" s="1"/>
  <c r="A15" i="66" s="1"/>
  <c r="H46" i="69" l="1"/>
  <c r="F20" i="55" l="1"/>
  <c r="G44" i="69"/>
  <c r="G21" i="55"/>
  <c r="G21" i="60" s="1"/>
  <c r="H43" i="69"/>
  <c r="G47" i="69"/>
  <c r="G30" i="69"/>
  <c r="G27" i="69"/>
  <c r="G29" i="69"/>
  <c r="G31" i="69"/>
  <c r="F47" i="69" l="1"/>
  <c r="G43" i="69"/>
  <c r="F21" i="55"/>
  <c r="F21" i="60" s="1"/>
  <c r="E20" i="55"/>
  <c r="F44" i="69"/>
  <c r="G26" i="69"/>
  <c r="G64" i="69" s="1"/>
  <c r="G46" i="69"/>
  <c r="G28" i="69"/>
  <c r="G33" i="69"/>
  <c r="E31" i="69"/>
  <c r="E29" i="69"/>
  <c r="E47" i="69"/>
  <c r="G32" i="69" l="1"/>
  <c r="E43" i="69"/>
  <c r="E21" i="55"/>
  <c r="E21" i="60" s="1"/>
  <c r="F43" i="69"/>
  <c r="E44" i="69"/>
  <c r="D20" i="55"/>
  <c r="F46" i="69"/>
  <c r="E27" i="69"/>
  <c r="E33" i="69" s="1"/>
  <c r="E28" i="69"/>
  <c r="D21" i="55"/>
  <c r="D21" i="60" s="1"/>
  <c r="G37" i="69" l="1"/>
  <c r="F20" i="60" s="1"/>
  <c r="E46" i="69"/>
  <c r="E61" i="69"/>
  <c r="E26" i="69"/>
  <c r="D27" i="69"/>
  <c r="O54" i="69" l="1"/>
  <c r="E52" i="69" l="1"/>
  <c r="F52" i="69"/>
  <c r="G52" i="69"/>
  <c r="H52" i="69"/>
  <c r="I52" i="69"/>
  <c r="J52" i="69"/>
  <c r="K52" i="69"/>
  <c r="L52" i="69"/>
  <c r="M52" i="69"/>
  <c r="N52" i="69"/>
  <c r="O52" i="69"/>
  <c r="D52" i="69"/>
  <c r="E45" i="69"/>
  <c r="F45" i="69"/>
  <c r="G45" i="69"/>
  <c r="H45" i="69"/>
  <c r="I45" i="69"/>
  <c r="J45" i="69"/>
  <c r="K45" i="69"/>
  <c r="L45" i="69"/>
  <c r="M45" i="69"/>
  <c r="N45" i="69"/>
  <c r="O45" i="69"/>
  <c r="D45" i="69"/>
  <c r="E42" i="69"/>
  <c r="F42" i="69"/>
  <c r="G42" i="69"/>
  <c r="H42" i="69"/>
  <c r="I42" i="69"/>
  <c r="J42" i="69"/>
  <c r="K42" i="69"/>
  <c r="L42" i="69"/>
  <c r="M42" i="69"/>
  <c r="N42" i="69"/>
  <c r="O42" i="69"/>
  <c r="E30" i="69"/>
  <c r="E32" i="69" s="1"/>
  <c r="C19" i="59"/>
  <c r="E37" i="69" l="1"/>
  <c r="D20" i="60" s="1"/>
  <c r="E68" i="69"/>
  <c r="F68" i="69"/>
  <c r="G68" i="69"/>
  <c r="H68" i="69"/>
  <c r="I68" i="69"/>
  <c r="J68" i="69"/>
  <c r="K68" i="69"/>
  <c r="L68" i="69"/>
  <c r="M68" i="69"/>
  <c r="N68" i="69"/>
  <c r="E69" i="69"/>
  <c r="F69" i="69"/>
  <c r="G69" i="69"/>
  <c r="H69" i="69"/>
  <c r="I69" i="69"/>
  <c r="J69" i="69"/>
  <c r="K69" i="69"/>
  <c r="L69" i="69"/>
  <c r="M69" i="69"/>
  <c r="N69" i="69"/>
  <c r="O69" i="69"/>
  <c r="O68" i="69"/>
  <c r="D19" i="59" l="1"/>
  <c r="D20" i="68" l="1"/>
  <c r="E20" i="68"/>
  <c r="F20" i="68"/>
  <c r="G20" i="68"/>
  <c r="H20" i="68"/>
  <c r="I20" i="68"/>
  <c r="J20" i="68"/>
  <c r="K20" i="68"/>
  <c r="L20" i="68"/>
  <c r="M20" i="68"/>
  <c r="N20" i="68"/>
  <c r="C20" i="68"/>
  <c r="D20" i="64"/>
  <c r="E20" i="64"/>
  <c r="F20" i="64"/>
  <c r="G20" i="64"/>
  <c r="H20" i="64"/>
  <c r="I20" i="64"/>
  <c r="J20" i="64"/>
  <c r="K20" i="64"/>
  <c r="L20" i="64"/>
  <c r="M20" i="64"/>
  <c r="N20" i="64"/>
  <c r="C20" i="64"/>
  <c r="D20" i="58"/>
  <c r="E20" i="58"/>
  <c r="F20" i="58"/>
  <c r="G20" i="58"/>
  <c r="H20" i="58"/>
  <c r="I20" i="58"/>
  <c r="J20" i="58"/>
  <c r="K20" i="58"/>
  <c r="L20" i="58"/>
  <c r="M20" i="58"/>
  <c r="N20" i="58"/>
  <c r="C20" i="58"/>
  <c r="F20" i="56"/>
  <c r="K20" i="63" l="1"/>
  <c r="L20" i="63"/>
  <c r="M20" i="63"/>
  <c r="N20" i="63"/>
  <c r="K21" i="63"/>
  <c r="L21" i="63"/>
  <c r="M21" i="63"/>
  <c r="N21" i="63"/>
  <c r="E19" i="59"/>
  <c r="F19" i="59"/>
  <c r="G19" i="59"/>
  <c r="H19" i="59"/>
  <c r="I19" i="59"/>
  <c r="J19" i="59"/>
  <c r="K19" i="59"/>
  <c r="L19" i="59"/>
  <c r="M19" i="59"/>
  <c r="N19" i="59"/>
  <c r="D20" i="38"/>
  <c r="F20" i="38"/>
  <c r="G20" i="38"/>
  <c r="I20" i="38"/>
  <c r="J20" i="38"/>
  <c r="K20" i="38"/>
  <c r="L20" i="38"/>
  <c r="N20" i="38"/>
  <c r="C20" i="38"/>
  <c r="K20" i="36"/>
  <c r="K21" i="68" s="1"/>
  <c r="L20" i="36"/>
  <c r="L21" i="68" s="1"/>
  <c r="M20" i="36"/>
  <c r="M21" i="68" s="1"/>
  <c r="N20" i="36"/>
  <c r="N21" i="68" s="1"/>
  <c r="K20" i="62"/>
  <c r="K21" i="58" s="1"/>
  <c r="L20" i="62"/>
  <c r="L21" i="58" s="1"/>
  <c r="M20" i="62"/>
  <c r="M21" i="58" s="1"/>
  <c r="N20" i="62"/>
  <c r="N21" i="58" s="1"/>
  <c r="K21" i="62"/>
  <c r="K21" i="36" s="1"/>
  <c r="L21" i="62"/>
  <c r="L21" i="36" s="1"/>
  <c r="M21" i="62"/>
  <c r="M21" i="36" s="1"/>
  <c r="N21" i="62"/>
  <c r="N21" i="36" s="1"/>
  <c r="K20" i="55" l="1"/>
  <c r="L20" i="55"/>
  <c r="M20" i="55"/>
  <c r="N20" i="55"/>
  <c r="K21" i="55"/>
  <c r="K21" i="60" s="1"/>
  <c r="L21" i="55"/>
  <c r="L21" i="60" s="1"/>
  <c r="M21" i="55"/>
  <c r="M21" i="60" s="1"/>
  <c r="N21" i="55"/>
  <c r="N21" i="60" s="1"/>
  <c r="E55" i="69"/>
  <c r="D21" i="38" s="1"/>
  <c r="D19" i="38" s="1"/>
  <c r="F55" i="69"/>
  <c r="G55" i="69"/>
  <c r="F21" i="38" s="1"/>
  <c r="F19" i="38" s="1"/>
  <c r="H55" i="69"/>
  <c r="G21" i="38" s="1"/>
  <c r="G19" i="38" s="1"/>
  <c r="I55" i="69"/>
  <c r="J55" i="69"/>
  <c r="I21" i="38" s="1"/>
  <c r="I19" i="38" s="1"/>
  <c r="K55" i="69"/>
  <c r="J21" i="38" s="1"/>
  <c r="J19" i="38" s="1"/>
  <c r="L55" i="69"/>
  <c r="K21" i="38" s="1"/>
  <c r="K21" i="66" s="1"/>
  <c r="M55" i="69"/>
  <c r="L21" i="38" s="1"/>
  <c r="L19" i="38" s="1"/>
  <c r="N55" i="69"/>
  <c r="O55" i="69"/>
  <c r="N21" i="38" s="1"/>
  <c r="N19" i="38" s="1"/>
  <c r="D55" i="69"/>
  <c r="C21" i="38" s="1"/>
  <c r="C19" i="38" s="1"/>
  <c r="N21" i="66" l="1"/>
  <c r="N20" i="66" s="1"/>
  <c r="K20" i="66"/>
  <c r="K19" i="66" s="1"/>
  <c r="L21" i="66"/>
  <c r="K19" i="38"/>
  <c r="O18" i="66"/>
  <c r="C18" i="66" s="1"/>
  <c r="O17" i="66"/>
  <c r="C17" i="66" s="1"/>
  <c r="O18" i="68"/>
  <c r="C18" i="68" s="1"/>
  <c r="O17" i="68"/>
  <c r="C17" i="68" s="1"/>
  <c r="O18" i="65"/>
  <c r="C18" i="65" s="1"/>
  <c r="O17" i="65"/>
  <c r="C17" i="65" s="1"/>
  <c r="O18" i="64"/>
  <c r="C18" i="64" s="1"/>
  <c r="O17" i="64"/>
  <c r="C17" i="64" s="1"/>
  <c r="O18" i="63"/>
  <c r="C18" i="63" s="1"/>
  <c r="O17" i="63"/>
  <c r="C17" i="63" s="1"/>
  <c r="O18" i="59"/>
  <c r="C18" i="59" s="1"/>
  <c r="O17" i="59"/>
  <c r="C17" i="59" s="1"/>
  <c r="O18" i="58"/>
  <c r="C18" i="58" s="1"/>
  <c r="O17" i="58"/>
  <c r="C17" i="58" s="1"/>
  <c r="O18" i="38"/>
  <c r="C18" i="38" s="1"/>
  <c r="O17" i="38"/>
  <c r="C17" i="38" s="1"/>
  <c r="O18" i="36"/>
  <c r="C18" i="36" s="1"/>
  <c r="O17" i="36"/>
  <c r="C17" i="36" s="1"/>
  <c r="O18" i="62"/>
  <c r="C18" i="62" s="1"/>
  <c r="O17" i="62"/>
  <c r="C17" i="62" s="1"/>
  <c r="O18" i="61"/>
  <c r="C18" i="61" s="1"/>
  <c r="O17" i="61"/>
  <c r="C17" i="61" s="1"/>
  <c r="O18" i="60"/>
  <c r="C18" i="60" s="1"/>
  <c r="O17" i="60"/>
  <c r="C17" i="60" s="1"/>
  <c r="O18" i="56"/>
  <c r="C18" i="56" s="1"/>
  <c r="O17" i="56"/>
  <c r="C17" i="56" s="1"/>
  <c r="O18" i="55"/>
  <c r="C18" i="55" s="1"/>
  <c r="O17" i="55"/>
  <c r="C17" i="55" s="1"/>
  <c r="N19" i="66" l="1"/>
  <c r="L20" i="66"/>
  <c r="L19" i="66" s="1"/>
  <c r="J21" i="63"/>
  <c r="I21" i="63"/>
  <c r="H21" i="63"/>
  <c r="G21" i="63"/>
  <c r="F21" i="63"/>
  <c r="E21" i="63"/>
  <c r="D21" i="63"/>
  <c r="C21" i="63"/>
  <c r="J20" i="63"/>
  <c r="I20" i="63"/>
  <c r="H20" i="63"/>
  <c r="G20" i="63"/>
  <c r="F20" i="63"/>
  <c r="E20" i="63"/>
  <c r="D20" i="63"/>
  <c r="C20" i="63"/>
  <c r="J20" i="36"/>
  <c r="I20" i="36"/>
  <c r="H20" i="36"/>
  <c r="G20" i="36"/>
  <c r="F20" i="36"/>
  <c r="E20" i="36"/>
  <c r="D20" i="36"/>
  <c r="C20" i="36"/>
  <c r="J21" i="62"/>
  <c r="I21" i="62"/>
  <c r="H21" i="62"/>
  <c r="C21" i="62"/>
  <c r="J20" i="62"/>
  <c r="J21" i="58" s="1"/>
  <c r="I20" i="62"/>
  <c r="I21" i="58" s="1"/>
  <c r="H20" i="62"/>
  <c r="H21" i="58" s="1"/>
  <c r="G20" i="62"/>
  <c r="G21" i="58" s="1"/>
  <c r="F20" i="62"/>
  <c r="F21" i="58" s="1"/>
  <c r="E20" i="62"/>
  <c r="E21" i="58" s="1"/>
  <c r="D20" i="62"/>
  <c r="D21" i="58" s="1"/>
  <c r="C20" i="62"/>
  <c r="D69" i="69" l="1"/>
  <c r="D68" i="69"/>
  <c r="O63" i="69"/>
  <c r="N63" i="69"/>
  <c r="M63" i="69"/>
  <c r="L63" i="69"/>
  <c r="O62" i="69"/>
  <c r="N62" i="69"/>
  <c r="M62" i="69"/>
  <c r="L62" i="69"/>
  <c r="O61" i="69"/>
  <c r="N61" i="69"/>
  <c r="M61" i="69"/>
  <c r="L61" i="69"/>
  <c r="O60" i="69"/>
  <c r="N60" i="69"/>
  <c r="M60" i="69"/>
  <c r="L60" i="69"/>
  <c r="K60" i="69"/>
  <c r="J60" i="69"/>
  <c r="I60" i="69"/>
  <c r="H60" i="69"/>
  <c r="F60" i="69"/>
  <c r="O59" i="69"/>
  <c r="N59" i="69"/>
  <c r="M59" i="69"/>
  <c r="L59" i="69"/>
  <c r="O58" i="69"/>
  <c r="N58" i="69"/>
  <c r="M58" i="69"/>
  <c r="L58" i="69"/>
  <c r="O57" i="69"/>
  <c r="N57" i="69"/>
  <c r="J57" i="69"/>
  <c r="I57" i="69"/>
  <c r="G57" i="69"/>
  <c r="F57" i="69"/>
  <c r="E57" i="69"/>
  <c r="P57" i="69" s="1"/>
  <c r="N54" i="69"/>
  <c r="M54" i="69"/>
  <c r="L54" i="69"/>
  <c r="K54" i="69"/>
  <c r="J54" i="69"/>
  <c r="I54" i="69"/>
  <c r="D54" i="69"/>
  <c r="O53" i="69"/>
  <c r="N53" i="69"/>
  <c r="L53" i="69"/>
  <c r="K53" i="69"/>
  <c r="J53" i="69"/>
  <c r="I53" i="69"/>
  <c r="D53" i="69"/>
  <c r="D44" i="69"/>
  <c r="D42" i="69"/>
  <c r="O31" i="69"/>
  <c r="N31" i="69"/>
  <c r="M31" i="69"/>
  <c r="K31" i="69"/>
  <c r="I31" i="69"/>
  <c r="H31" i="69"/>
  <c r="F31" i="69"/>
  <c r="D31" i="69"/>
  <c r="O30" i="69"/>
  <c r="N30" i="69"/>
  <c r="M30" i="69"/>
  <c r="O29" i="69"/>
  <c r="N29" i="69"/>
  <c r="M29" i="69"/>
  <c r="O28" i="69"/>
  <c r="N28" i="69"/>
  <c r="M28" i="69"/>
  <c r="O27" i="69"/>
  <c r="N27" i="69"/>
  <c r="M27" i="69"/>
  <c r="O26" i="69"/>
  <c r="N26" i="69"/>
  <c r="M26" i="69"/>
  <c r="K63" i="69"/>
  <c r="J63" i="69"/>
  <c r="I63" i="69"/>
  <c r="H63" i="69"/>
  <c r="F63" i="69"/>
  <c r="E63" i="69"/>
  <c r="D63" i="69"/>
  <c r="D47" i="69"/>
  <c r="D46" i="69"/>
  <c r="D60" i="69"/>
  <c r="K59" i="69"/>
  <c r="F28" i="69"/>
  <c r="H20" i="55"/>
  <c r="H21" i="55"/>
  <c r="E21" i="62"/>
  <c r="N21" i="56" l="1"/>
  <c r="K21" i="56"/>
  <c r="N32" i="69"/>
  <c r="Q32" i="69" s="1"/>
  <c r="M21" i="56"/>
  <c r="N48" i="69"/>
  <c r="M32" i="69"/>
  <c r="L21" i="56"/>
  <c r="M48" i="69"/>
  <c r="N64" i="69"/>
  <c r="N65" i="69"/>
  <c r="N66" i="69"/>
  <c r="F26" i="69"/>
  <c r="F58" i="69"/>
  <c r="F59" i="69"/>
  <c r="D62" i="69"/>
  <c r="H62" i="69"/>
  <c r="J21" i="55"/>
  <c r="J20" i="55"/>
  <c r="I62" i="69"/>
  <c r="D26" i="69"/>
  <c r="C21" i="55"/>
  <c r="H26" i="69"/>
  <c r="C20" i="55"/>
  <c r="H27" i="69"/>
  <c r="G20" i="55"/>
  <c r="D28" i="69"/>
  <c r="H28" i="69"/>
  <c r="D29" i="69"/>
  <c r="H29" i="69"/>
  <c r="F61" i="69"/>
  <c r="J61" i="69"/>
  <c r="F62" i="69"/>
  <c r="J62" i="69"/>
  <c r="H48" i="69"/>
  <c r="J49" i="69"/>
  <c r="O49" i="69"/>
  <c r="I21" i="55"/>
  <c r="J58" i="69"/>
  <c r="I20" i="55"/>
  <c r="J59" i="69"/>
  <c r="E62" i="69"/>
  <c r="K58" i="69"/>
  <c r="I28" i="69"/>
  <c r="K28" i="69"/>
  <c r="D48" i="69"/>
  <c r="L48" i="69"/>
  <c r="L49" i="69"/>
  <c r="C21" i="66"/>
  <c r="I21" i="66"/>
  <c r="J21" i="66"/>
  <c r="M64" i="69"/>
  <c r="O65" i="69"/>
  <c r="M65" i="69"/>
  <c r="O66" i="69"/>
  <c r="O48" i="69"/>
  <c r="F49" i="69"/>
  <c r="N49" i="69"/>
  <c r="D21" i="62"/>
  <c r="O33" i="69"/>
  <c r="L64" i="69"/>
  <c r="L65" i="69"/>
  <c r="K20" i="56"/>
  <c r="M49" i="69"/>
  <c r="E58" i="69"/>
  <c r="I59" i="69"/>
  <c r="E60" i="69"/>
  <c r="E66" i="69"/>
  <c r="K49" i="69"/>
  <c r="K61" i="69"/>
  <c r="D49" i="69"/>
  <c r="H49" i="69"/>
  <c r="G66" i="69"/>
  <c r="I58" i="69"/>
  <c r="E59" i="69"/>
  <c r="K29" i="69"/>
  <c r="E49" i="69"/>
  <c r="I49" i="69"/>
  <c r="K26" i="69"/>
  <c r="O64" i="69"/>
  <c r="O32" i="69"/>
  <c r="I27" i="69"/>
  <c r="I29" i="69"/>
  <c r="K30" i="69"/>
  <c r="K66" i="69" s="1"/>
  <c r="M66" i="69"/>
  <c r="M33" i="69"/>
  <c r="I26" i="69"/>
  <c r="G49" i="69"/>
  <c r="K62" i="69"/>
  <c r="F54" i="69"/>
  <c r="F53" i="69"/>
  <c r="F21" i="62"/>
  <c r="F27" i="69"/>
  <c r="F29" i="69"/>
  <c r="F65" i="69" s="1"/>
  <c r="J65" i="69"/>
  <c r="D30" i="69"/>
  <c r="H30" i="69"/>
  <c r="H66" i="69" s="1"/>
  <c r="N33" i="69"/>
  <c r="D58" i="69"/>
  <c r="H58" i="69"/>
  <c r="D59" i="69"/>
  <c r="H59" i="69"/>
  <c r="D61" i="69"/>
  <c r="H61" i="69"/>
  <c r="L66" i="69"/>
  <c r="K27" i="69"/>
  <c r="I30" i="69"/>
  <c r="I66" i="69" s="1"/>
  <c r="E53" i="69"/>
  <c r="E54" i="69"/>
  <c r="I61" i="69"/>
  <c r="F30" i="69"/>
  <c r="L20" i="56" l="1"/>
  <c r="M20" i="56"/>
  <c r="M20" i="38"/>
  <c r="M21" i="38" s="1"/>
  <c r="N20" i="56"/>
  <c r="F33" i="69"/>
  <c r="E20" i="38" s="1"/>
  <c r="E21" i="38" s="1"/>
  <c r="E19" i="38" s="1"/>
  <c r="H64" i="69"/>
  <c r="O37" i="69"/>
  <c r="N37" i="69"/>
  <c r="M20" i="60" s="1"/>
  <c r="M37" i="69"/>
  <c r="L20" i="60" s="1"/>
  <c r="L37" i="69"/>
  <c r="K20" i="60" s="1"/>
  <c r="D64" i="69"/>
  <c r="F32" i="69"/>
  <c r="O67" i="69"/>
  <c r="N67" i="69"/>
  <c r="G48" i="69"/>
  <c r="D65" i="69"/>
  <c r="K48" i="69"/>
  <c r="D33" i="69"/>
  <c r="C20" i="56" s="1"/>
  <c r="M67" i="69"/>
  <c r="L67" i="69"/>
  <c r="H33" i="69"/>
  <c r="K64" i="69"/>
  <c r="J64" i="69"/>
  <c r="K65" i="69"/>
  <c r="H65" i="69"/>
  <c r="I65" i="69"/>
  <c r="J21" i="56"/>
  <c r="E65" i="69"/>
  <c r="G21" i="56"/>
  <c r="J48" i="69"/>
  <c r="D32" i="69"/>
  <c r="D66" i="69"/>
  <c r="G65" i="69"/>
  <c r="E21" i="56"/>
  <c r="C21" i="56"/>
  <c r="J20" i="66"/>
  <c r="J19" i="66" s="1"/>
  <c r="H21" i="56"/>
  <c r="D21" i="56"/>
  <c r="K33" i="69"/>
  <c r="J20" i="56" s="1"/>
  <c r="D21" i="66"/>
  <c r="C20" i="66"/>
  <c r="C19" i="66" s="1"/>
  <c r="F21" i="56"/>
  <c r="I21" i="56"/>
  <c r="I20" i="66"/>
  <c r="I19" i="66" s="1"/>
  <c r="I32" i="69"/>
  <c r="H20" i="38" s="1"/>
  <c r="H21" i="38" s="1"/>
  <c r="F48" i="69"/>
  <c r="F64" i="69"/>
  <c r="I33" i="69"/>
  <c r="I64" i="69"/>
  <c r="J66" i="69"/>
  <c r="H32" i="69"/>
  <c r="I48" i="69"/>
  <c r="E64" i="69"/>
  <c r="D20" i="56"/>
  <c r="E48" i="69"/>
  <c r="G21" i="62"/>
  <c r="G54" i="69"/>
  <c r="G53" i="69"/>
  <c r="F66" i="69"/>
  <c r="K32" i="69"/>
  <c r="N20" i="60" l="1"/>
  <c r="H19" i="38"/>
  <c r="H21" i="66"/>
  <c r="H20" i="66" s="1"/>
  <c r="H19" i="66" s="1"/>
  <c r="M21" i="66"/>
  <c r="M20" i="66" s="1"/>
  <c r="M19" i="66" s="1"/>
  <c r="M19" i="38"/>
  <c r="O20" i="38"/>
  <c r="E21" i="66"/>
  <c r="E20" i="66" s="1"/>
  <c r="E19" i="66" s="1"/>
  <c r="D37" i="69"/>
  <c r="C20" i="60" s="1"/>
  <c r="H20" i="56"/>
  <c r="F37" i="69"/>
  <c r="E20" i="60" s="1"/>
  <c r="G20" i="56"/>
  <c r="H37" i="69"/>
  <c r="G20" i="60" s="1"/>
  <c r="K37" i="69"/>
  <c r="J20" i="60" s="1"/>
  <c r="K67" i="69"/>
  <c r="H67" i="69"/>
  <c r="I37" i="69"/>
  <c r="H20" i="60" s="1"/>
  <c r="J67" i="69"/>
  <c r="I20" i="56"/>
  <c r="J37" i="69"/>
  <c r="I20" i="60" s="1"/>
  <c r="F67" i="69"/>
  <c r="E20" i="56"/>
  <c r="D67" i="69"/>
  <c r="E67" i="69"/>
  <c r="I67" i="69"/>
  <c r="F21" i="66"/>
  <c r="G67" i="69"/>
  <c r="D20" i="66"/>
  <c r="D19" i="66" s="1"/>
  <c r="H53" i="69"/>
  <c r="G21" i="66" l="1"/>
  <c r="F20" i="66"/>
  <c r="F19" i="66" s="1"/>
  <c r="G20" i="66" l="1"/>
  <c r="G19" i="66" s="1"/>
  <c r="O20" i="59" l="1"/>
  <c r="O19" i="59" s="1"/>
  <c r="C19" i="65"/>
  <c r="D19" i="65"/>
  <c r="E19" i="65"/>
  <c r="F19" i="65"/>
  <c r="G19" i="65"/>
  <c r="H19" i="65"/>
  <c r="I19" i="65"/>
  <c r="J19" i="65"/>
  <c r="K19" i="65"/>
  <c r="L19" i="65"/>
  <c r="M19" i="65"/>
  <c r="N19" i="65"/>
  <c r="J19" i="64" l="1"/>
  <c r="K19" i="64"/>
  <c r="L19" i="64"/>
  <c r="M19" i="64"/>
  <c r="N19" i="64"/>
  <c r="D19" i="64"/>
  <c r="E19" i="64"/>
  <c r="F19" i="64"/>
  <c r="G19" i="64"/>
  <c r="H19" i="64"/>
  <c r="I19" i="64"/>
  <c r="F7" i="66" l="1"/>
  <c r="F7" i="65"/>
  <c r="F7" i="64"/>
  <c r="F7" i="63"/>
  <c r="O20" i="60" l="1"/>
  <c r="C21" i="61" l="1"/>
  <c r="D21" i="61" s="1"/>
  <c r="E21" i="61" s="1"/>
  <c r="O20" i="61"/>
  <c r="O20" i="64"/>
  <c r="O19" i="64" s="1"/>
  <c r="F21" i="61" l="1"/>
  <c r="G21" i="61" s="1"/>
  <c r="H21" i="61" s="1"/>
  <c r="I21" i="61" s="1"/>
  <c r="J21" i="61" s="1"/>
  <c r="K21" i="61" s="1"/>
  <c r="L21" i="61" s="1"/>
  <c r="M21" i="61" s="1"/>
  <c r="N21" i="61" s="1"/>
  <c r="C19" i="64"/>
  <c r="D22" i="61" l="1"/>
  <c r="C19" i="61"/>
  <c r="O21" i="61"/>
  <c r="L24" i="66"/>
  <c r="H24" i="66"/>
  <c r="D24" i="66"/>
  <c r="L24" i="68"/>
  <c r="H24" i="68"/>
  <c r="D24" i="68"/>
  <c r="L24" i="65"/>
  <c r="H24" i="65"/>
  <c r="D24" i="65"/>
  <c r="L24" i="64"/>
  <c r="H24" i="64"/>
  <c r="D24" i="64"/>
  <c r="L24" i="63"/>
  <c r="H24" i="63"/>
  <c r="D24" i="63"/>
  <c r="J21" i="68"/>
  <c r="J21" i="36"/>
  <c r="J21" i="60"/>
  <c r="D21" i="68"/>
  <c r="E21" i="68"/>
  <c r="F21" i="68"/>
  <c r="G21" i="68"/>
  <c r="H21" i="68"/>
  <c r="I21" i="68"/>
  <c r="C21" i="68"/>
  <c r="D21" i="36"/>
  <c r="E21" i="36"/>
  <c r="F21" i="36"/>
  <c r="G21" i="36"/>
  <c r="H21" i="36"/>
  <c r="I21" i="36"/>
  <c r="C21" i="36"/>
  <c r="C21" i="58"/>
  <c r="H21" i="60"/>
  <c r="I21" i="60"/>
  <c r="C21" i="60"/>
  <c r="E22" i="61" l="1"/>
  <c r="D19" i="61"/>
  <c r="C22" i="60"/>
  <c r="O21" i="60"/>
  <c r="I11" i="68"/>
  <c r="F11" i="68"/>
  <c r="A11" i="68"/>
  <c r="G8" i="68"/>
  <c r="F7" i="68"/>
  <c r="F6" i="68"/>
  <c r="O21" i="68"/>
  <c r="O20" i="68"/>
  <c r="N19" i="68"/>
  <c r="X20" i="1" s="1"/>
  <c r="M19" i="68"/>
  <c r="W20" i="1" s="1"/>
  <c r="L19" i="68"/>
  <c r="V20" i="1" s="1"/>
  <c r="K19" i="68"/>
  <c r="U20" i="1" s="1"/>
  <c r="J19" i="68"/>
  <c r="T20" i="1" s="1"/>
  <c r="I19" i="68"/>
  <c r="S20" i="1" s="1"/>
  <c r="H19" i="68"/>
  <c r="R20" i="1" s="1"/>
  <c r="G19" i="68"/>
  <c r="Q20" i="1" s="1"/>
  <c r="F19" i="68"/>
  <c r="P20" i="1" s="1"/>
  <c r="E19" i="68"/>
  <c r="O20" i="1" s="1"/>
  <c r="D19" i="68"/>
  <c r="N20" i="1" s="1"/>
  <c r="C19" i="68"/>
  <c r="M20" i="1" s="1"/>
  <c r="N18" i="68"/>
  <c r="M18" i="68"/>
  <c r="L18" i="68"/>
  <c r="K18" i="68"/>
  <c r="J18" i="68"/>
  <c r="I18" i="68"/>
  <c r="H18" i="68"/>
  <c r="G18" i="68"/>
  <c r="F18" i="68"/>
  <c r="E18" i="68"/>
  <c r="D18" i="68"/>
  <c r="N17" i="68"/>
  <c r="M17" i="68"/>
  <c r="L17" i="68"/>
  <c r="K17" i="68"/>
  <c r="J17" i="68"/>
  <c r="I17" i="68"/>
  <c r="H17" i="68"/>
  <c r="G17" i="68"/>
  <c r="F17" i="68"/>
  <c r="E17" i="68"/>
  <c r="D17" i="68"/>
  <c r="H11" i="68"/>
  <c r="F5" i="68"/>
  <c r="D22" i="60" l="1"/>
  <c r="E22" i="60" s="1"/>
  <c r="F22" i="60" s="1"/>
  <c r="G22" i="60" s="1"/>
  <c r="H22" i="60" s="1"/>
  <c r="I22" i="60" s="1"/>
  <c r="J22" i="60" s="1"/>
  <c r="K22" i="60" s="1"/>
  <c r="L22" i="60" s="1"/>
  <c r="F22" i="61"/>
  <c r="E19" i="61"/>
  <c r="C19" i="60"/>
  <c r="D19" i="60"/>
  <c r="O19" i="68"/>
  <c r="L20" i="1" s="1"/>
  <c r="I11" i="66"/>
  <c r="H11" i="66"/>
  <c r="F11" i="66"/>
  <c r="A11" i="66"/>
  <c r="N19" i="1"/>
  <c r="O19" i="1"/>
  <c r="Q19" i="1"/>
  <c r="R19" i="1"/>
  <c r="S19" i="1"/>
  <c r="V19" i="1"/>
  <c r="W19" i="1"/>
  <c r="M19" i="1"/>
  <c r="N18" i="1"/>
  <c r="O18" i="1"/>
  <c r="P18" i="1"/>
  <c r="Q18" i="1"/>
  <c r="R18" i="1"/>
  <c r="S18" i="1"/>
  <c r="V18" i="1"/>
  <c r="W18" i="1"/>
  <c r="D19" i="63"/>
  <c r="N17" i="1" s="1"/>
  <c r="E19" i="63"/>
  <c r="O17" i="1" s="1"/>
  <c r="F19" i="63"/>
  <c r="P17" i="1" s="1"/>
  <c r="G19" i="63"/>
  <c r="Q17" i="1" s="1"/>
  <c r="H19" i="63"/>
  <c r="R17" i="1" s="1"/>
  <c r="I19" i="63"/>
  <c r="S17" i="1" s="1"/>
  <c r="J19" i="63"/>
  <c r="T17" i="1" s="1"/>
  <c r="K19" i="63"/>
  <c r="U17" i="1" s="1"/>
  <c r="L19" i="63"/>
  <c r="V17" i="1" s="1"/>
  <c r="M19" i="63"/>
  <c r="W17" i="1" s="1"/>
  <c r="N19" i="63"/>
  <c r="X17" i="1" s="1"/>
  <c r="C19" i="63"/>
  <c r="M17" i="1" s="1"/>
  <c r="O21" i="38"/>
  <c r="O19" i="38" s="1"/>
  <c r="N11" i="1"/>
  <c r="O21" i="56"/>
  <c r="O20" i="56"/>
  <c r="N19" i="56"/>
  <c r="M19" i="56"/>
  <c r="L19" i="56"/>
  <c r="K19" i="56"/>
  <c r="J19" i="56"/>
  <c r="I19" i="56"/>
  <c r="H19" i="56"/>
  <c r="G19" i="56"/>
  <c r="F19" i="56"/>
  <c r="E19" i="56"/>
  <c r="D19" i="56"/>
  <c r="C19" i="56"/>
  <c r="I11" i="65"/>
  <c r="F11" i="65"/>
  <c r="A11" i="65"/>
  <c r="I11" i="64"/>
  <c r="F11" i="64"/>
  <c r="A11" i="64"/>
  <c r="I11" i="63"/>
  <c r="F11" i="63"/>
  <c r="A11" i="63"/>
  <c r="F6" i="66"/>
  <c r="F6" i="65"/>
  <c r="F6" i="64"/>
  <c r="F6" i="63"/>
  <c r="G8" i="66"/>
  <c r="G8" i="65"/>
  <c r="G8" i="64"/>
  <c r="G8" i="63"/>
  <c r="O21" i="66"/>
  <c r="O20" i="66"/>
  <c r="X21" i="1"/>
  <c r="W21" i="1"/>
  <c r="V21" i="1"/>
  <c r="U21" i="1"/>
  <c r="T21" i="1"/>
  <c r="S21" i="1"/>
  <c r="R21" i="1"/>
  <c r="Q21" i="1"/>
  <c r="P21" i="1"/>
  <c r="O21" i="1"/>
  <c r="N21" i="1"/>
  <c r="M21" i="1"/>
  <c r="N18" i="66"/>
  <c r="M18" i="66"/>
  <c r="L18" i="66"/>
  <c r="K18" i="66"/>
  <c r="J18" i="66"/>
  <c r="I18" i="66"/>
  <c r="H18" i="66"/>
  <c r="G18" i="66"/>
  <c r="F18" i="66"/>
  <c r="E18" i="66"/>
  <c r="D18" i="66"/>
  <c r="N17" i="66"/>
  <c r="M17" i="66"/>
  <c r="L17" i="66"/>
  <c r="K17" i="66"/>
  <c r="J17" i="66"/>
  <c r="I17" i="66"/>
  <c r="H17" i="66"/>
  <c r="G17" i="66"/>
  <c r="F17" i="66"/>
  <c r="E17" i="66"/>
  <c r="D17" i="66"/>
  <c r="F5" i="66"/>
  <c r="O20" i="65"/>
  <c r="O19" i="65" s="1"/>
  <c r="X19" i="1"/>
  <c r="U19" i="1"/>
  <c r="T19" i="1"/>
  <c r="P19" i="1"/>
  <c r="N18" i="65"/>
  <c r="M18" i="65"/>
  <c r="L18" i="65"/>
  <c r="K18" i="65"/>
  <c r="J18" i="65"/>
  <c r="I18" i="65"/>
  <c r="H18" i="65"/>
  <c r="G18" i="65"/>
  <c r="F18" i="65"/>
  <c r="E18" i="65"/>
  <c r="D18" i="65"/>
  <c r="N17" i="65"/>
  <c r="M17" i="65"/>
  <c r="L17" i="65"/>
  <c r="K17" i="65"/>
  <c r="J17" i="65"/>
  <c r="I17" i="65"/>
  <c r="H17" i="65"/>
  <c r="G17" i="65"/>
  <c r="F17" i="65"/>
  <c r="E17" i="65"/>
  <c r="D17" i="65"/>
  <c r="H11" i="65"/>
  <c r="F5" i="65"/>
  <c r="X18" i="1"/>
  <c r="U18" i="1"/>
  <c r="T18" i="1"/>
  <c r="M18" i="1"/>
  <c r="N18" i="64"/>
  <c r="M18" i="64"/>
  <c r="L18" i="64"/>
  <c r="K18" i="64"/>
  <c r="J18" i="64"/>
  <c r="I18" i="64"/>
  <c r="H18" i="64"/>
  <c r="G18" i="64"/>
  <c r="F18" i="64"/>
  <c r="E18" i="64"/>
  <c r="D18" i="64"/>
  <c r="N17" i="64"/>
  <c r="M17" i="64"/>
  <c r="L17" i="64"/>
  <c r="K17" i="64"/>
  <c r="J17" i="64"/>
  <c r="I17" i="64"/>
  <c r="H17" i="64"/>
  <c r="G17" i="64"/>
  <c r="F17" i="64"/>
  <c r="E17" i="64"/>
  <c r="D17" i="64"/>
  <c r="H11" i="64"/>
  <c r="F5" i="64"/>
  <c r="O21" i="63"/>
  <c r="O20" i="63"/>
  <c r="N18" i="63"/>
  <c r="M18" i="63"/>
  <c r="L18" i="63"/>
  <c r="K18" i="63"/>
  <c r="J18" i="63"/>
  <c r="I18" i="63"/>
  <c r="H18" i="63"/>
  <c r="G18" i="63"/>
  <c r="F18" i="63"/>
  <c r="E18" i="63"/>
  <c r="D18" i="63"/>
  <c r="N17" i="63"/>
  <c r="M17" i="63"/>
  <c r="L17" i="63"/>
  <c r="K17" i="63"/>
  <c r="J17" i="63"/>
  <c r="I17" i="63"/>
  <c r="H17" i="63"/>
  <c r="G17" i="63"/>
  <c r="F17" i="63"/>
  <c r="E17" i="63"/>
  <c r="D17" i="63"/>
  <c r="H11" i="63"/>
  <c r="F5" i="63"/>
  <c r="F7" i="59"/>
  <c r="F7" i="58"/>
  <c r="F7" i="38"/>
  <c r="F7" i="36"/>
  <c r="F7" i="62"/>
  <c r="F7" i="61"/>
  <c r="F7" i="60"/>
  <c r="F7" i="56"/>
  <c r="F7" i="55"/>
  <c r="K19" i="60" l="1"/>
  <c r="U10" i="1" s="1"/>
  <c r="O19" i="66"/>
  <c r="L21" i="1" s="1"/>
  <c r="M22" i="60"/>
  <c r="L19" i="60"/>
  <c r="V10" i="1" s="1"/>
  <c r="G22" i="61"/>
  <c r="F19" i="61"/>
  <c r="P11" i="1" s="1"/>
  <c r="E19" i="60"/>
  <c r="O10" i="1" s="1"/>
  <c r="O19" i="56"/>
  <c r="O19" i="63"/>
  <c r="L17" i="1" s="1"/>
  <c r="L19" i="1"/>
  <c r="L18" i="1"/>
  <c r="O21" i="62"/>
  <c r="O20" i="62"/>
  <c r="O21" i="55"/>
  <c r="O11" i="1"/>
  <c r="M11" i="1"/>
  <c r="O20" i="55"/>
  <c r="F5" i="59"/>
  <c r="F5" i="58"/>
  <c r="F5" i="38"/>
  <c r="F5" i="36"/>
  <c r="F5" i="62"/>
  <c r="F5" i="61"/>
  <c r="F5" i="60"/>
  <c r="F5" i="56"/>
  <c r="F5" i="55"/>
  <c r="O21" i="36"/>
  <c r="O20" i="36"/>
  <c r="L24" i="62"/>
  <c r="H24" i="62"/>
  <c r="D24" i="62"/>
  <c r="I11" i="62"/>
  <c r="F11" i="62"/>
  <c r="A11" i="62"/>
  <c r="G8" i="62"/>
  <c r="F6" i="62"/>
  <c r="N19" i="62"/>
  <c r="X12" i="1" s="1"/>
  <c r="M19" i="62"/>
  <c r="W12" i="1" s="1"/>
  <c r="L19" i="62"/>
  <c r="V12" i="1" s="1"/>
  <c r="K19" i="62"/>
  <c r="U12" i="1" s="1"/>
  <c r="J19" i="62"/>
  <c r="T12" i="1" s="1"/>
  <c r="I19" i="62"/>
  <c r="S12" i="1" s="1"/>
  <c r="H19" i="62"/>
  <c r="R12" i="1" s="1"/>
  <c r="G19" i="62"/>
  <c r="Q12" i="1" s="1"/>
  <c r="F19" i="62"/>
  <c r="P12" i="1" s="1"/>
  <c r="E19" i="62"/>
  <c r="O12" i="1" s="1"/>
  <c r="D19" i="62"/>
  <c r="N12" i="1" s="1"/>
  <c r="C19" i="62"/>
  <c r="M12" i="1" s="1"/>
  <c r="N18" i="62"/>
  <c r="M18" i="62"/>
  <c r="L18" i="62"/>
  <c r="K18" i="62"/>
  <c r="J18" i="62"/>
  <c r="I18" i="62"/>
  <c r="H18" i="62"/>
  <c r="G18" i="62"/>
  <c r="F18" i="62"/>
  <c r="E18" i="62"/>
  <c r="D18" i="62"/>
  <c r="N17" i="62"/>
  <c r="M17" i="62"/>
  <c r="L17" i="62"/>
  <c r="K17" i="62"/>
  <c r="J17" i="62"/>
  <c r="I17" i="62"/>
  <c r="H17" i="62"/>
  <c r="G17" i="62"/>
  <c r="F17" i="62"/>
  <c r="E17" i="62"/>
  <c r="D17" i="62"/>
  <c r="H11" i="62"/>
  <c r="L25" i="61"/>
  <c r="H25" i="61"/>
  <c r="D25" i="61"/>
  <c r="I11" i="61"/>
  <c r="F11" i="61"/>
  <c r="A11" i="61"/>
  <c r="G8" i="61"/>
  <c r="F6" i="61"/>
  <c r="L25" i="60"/>
  <c r="H25" i="60"/>
  <c r="D25" i="60"/>
  <c r="I11" i="60"/>
  <c r="F11" i="60"/>
  <c r="A11" i="60"/>
  <c r="G8" i="60"/>
  <c r="F6" i="60"/>
  <c r="N18" i="61"/>
  <c r="M18" i="61"/>
  <c r="L18" i="61"/>
  <c r="K18" i="61"/>
  <c r="J18" i="61"/>
  <c r="I18" i="61"/>
  <c r="H18" i="61"/>
  <c r="G18" i="61"/>
  <c r="F18" i="61"/>
  <c r="E18" i="61"/>
  <c r="D18" i="61"/>
  <c r="N17" i="61"/>
  <c r="M17" i="61"/>
  <c r="L17" i="61"/>
  <c r="K17" i="61"/>
  <c r="J17" i="61"/>
  <c r="I17" i="61"/>
  <c r="H17" i="61"/>
  <c r="G17" i="61"/>
  <c r="F17" i="61"/>
  <c r="E17" i="61"/>
  <c r="D17" i="61"/>
  <c r="H11" i="61"/>
  <c r="N10" i="1"/>
  <c r="M10" i="1"/>
  <c r="N18" i="60"/>
  <c r="M18" i="60"/>
  <c r="L18" i="60"/>
  <c r="K18" i="60"/>
  <c r="J18" i="60"/>
  <c r="I18" i="60"/>
  <c r="H18" i="60"/>
  <c r="G18" i="60"/>
  <c r="F18" i="60"/>
  <c r="E18" i="60"/>
  <c r="D18" i="60"/>
  <c r="N17" i="60"/>
  <c r="M17" i="60"/>
  <c r="L17" i="60"/>
  <c r="K17" i="60"/>
  <c r="J17" i="60"/>
  <c r="I17" i="60"/>
  <c r="H17" i="60"/>
  <c r="G17" i="60"/>
  <c r="F17" i="60"/>
  <c r="E17" i="60"/>
  <c r="D17" i="60"/>
  <c r="H11" i="60"/>
  <c r="N22" i="60" l="1"/>
  <c r="N19" i="60" s="1"/>
  <c r="X10" i="1" s="1"/>
  <c r="M19" i="60"/>
  <c r="W10" i="1" s="1"/>
  <c r="H22" i="61"/>
  <c r="G19" i="61"/>
  <c r="Q11" i="1" s="1"/>
  <c r="F19" i="60"/>
  <c r="P10" i="1" s="1"/>
  <c r="O19" i="62"/>
  <c r="L12" i="1" s="1"/>
  <c r="L24" i="59"/>
  <c r="H24" i="59"/>
  <c r="D24" i="59"/>
  <c r="I11" i="59"/>
  <c r="F11" i="59"/>
  <c r="A11" i="59"/>
  <c r="G8" i="59"/>
  <c r="F6" i="59"/>
  <c r="L16" i="1"/>
  <c r="X16" i="1"/>
  <c r="W16" i="1"/>
  <c r="V16" i="1"/>
  <c r="U16" i="1"/>
  <c r="T16" i="1"/>
  <c r="S16" i="1"/>
  <c r="R16" i="1"/>
  <c r="Q16" i="1"/>
  <c r="P16" i="1"/>
  <c r="O16" i="1"/>
  <c r="N16" i="1"/>
  <c r="M16" i="1"/>
  <c r="N18" i="59"/>
  <c r="M18" i="59"/>
  <c r="L18" i="59"/>
  <c r="K18" i="59"/>
  <c r="J18" i="59"/>
  <c r="I18" i="59"/>
  <c r="H18" i="59"/>
  <c r="G18" i="59"/>
  <c r="F18" i="59"/>
  <c r="E18" i="59"/>
  <c r="D18" i="59"/>
  <c r="N17" i="59"/>
  <c r="M17" i="59"/>
  <c r="L17" i="59"/>
  <c r="K17" i="59"/>
  <c r="J17" i="59"/>
  <c r="I17" i="59"/>
  <c r="H17" i="59"/>
  <c r="G17" i="59"/>
  <c r="F17" i="59"/>
  <c r="E17" i="59"/>
  <c r="D17" i="59"/>
  <c r="H11" i="59"/>
  <c r="O21" i="58"/>
  <c r="O20" i="58"/>
  <c r="N19" i="58"/>
  <c r="X15" i="1" s="1"/>
  <c r="M19" i="58"/>
  <c r="W15" i="1" s="1"/>
  <c r="L19" i="58"/>
  <c r="V15" i="1" s="1"/>
  <c r="K19" i="58"/>
  <c r="U15" i="1" s="1"/>
  <c r="J19" i="58"/>
  <c r="T15" i="1" s="1"/>
  <c r="I19" i="58"/>
  <c r="S15" i="1" s="1"/>
  <c r="H19" i="58"/>
  <c r="R15" i="1" s="1"/>
  <c r="G19" i="58"/>
  <c r="Q15" i="1" s="1"/>
  <c r="F19" i="58"/>
  <c r="P15" i="1" s="1"/>
  <c r="E19" i="58"/>
  <c r="O15" i="1" s="1"/>
  <c r="D19" i="58"/>
  <c r="N15" i="1" s="1"/>
  <c r="C19" i="58"/>
  <c r="M15" i="1" s="1"/>
  <c r="L24" i="58"/>
  <c r="H24" i="58"/>
  <c r="D24" i="58"/>
  <c r="I11" i="58"/>
  <c r="F11" i="58"/>
  <c r="A11" i="58"/>
  <c r="G8" i="58"/>
  <c r="F6" i="58"/>
  <c r="N18" i="58"/>
  <c r="M18" i="58"/>
  <c r="L18" i="58"/>
  <c r="K18" i="58"/>
  <c r="J18" i="58"/>
  <c r="I18" i="58"/>
  <c r="H18" i="58"/>
  <c r="G18" i="58"/>
  <c r="F18" i="58"/>
  <c r="E18" i="58"/>
  <c r="D18" i="58"/>
  <c r="N17" i="58"/>
  <c r="M17" i="58"/>
  <c r="L17" i="58"/>
  <c r="K17" i="58"/>
  <c r="J17" i="58"/>
  <c r="I17" i="58"/>
  <c r="H17" i="58"/>
  <c r="G17" i="58"/>
  <c r="F17" i="58"/>
  <c r="E17" i="58"/>
  <c r="D17" i="58"/>
  <c r="H11" i="58"/>
  <c r="L24" i="56"/>
  <c r="H24" i="56"/>
  <c r="D24" i="56"/>
  <c r="I11" i="56"/>
  <c r="F11" i="56"/>
  <c r="A11" i="56"/>
  <c r="G8" i="56"/>
  <c r="F6" i="56"/>
  <c r="V9" i="1"/>
  <c r="L9" i="1"/>
  <c r="X9" i="1"/>
  <c r="W9" i="1"/>
  <c r="U9" i="1"/>
  <c r="T9" i="1"/>
  <c r="S9" i="1"/>
  <c r="R9" i="1"/>
  <c r="Q9" i="1"/>
  <c r="P9" i="1"/>
  <c r="O9" i="1"/>
  <c r="N9" i="1"/>
  <c r="M9" i="1"/>
  <c r="N18" i="56"/>
  <c r="M18" i="56"/>
  <c r="L18" i="56"/>
  <c r="K18" i="56"/>
  <c r="J18" i="56"/>
  <c r="I18" i="56"/>
  <c r="H18" i="56"/>
  <c r="G18" i="56"/>
  <c r="F18" i="56"/>
  <c r="E18" i="56"/>
  <c r="D18" i="56"/>
  <c r="N17" i="56"/>
  <c r="M17" i="56"/>
  <c r="L17" i="56"/>
  <c r="K17" i="56"/>
  <c r="J17" i="56"/>
  <c r="I17" i="56"/>
  <c r="H17" i="56"/>
  <c r="G17" i="56"/>
  <c r="F17" i="56"/>
  <c r="E17" i="56"/>
  <c r="D17" i="56"/>
  <c r="H11" i="56"/>
  <c r="L24" i="55"/>
  <c r="H24" i="55"/>
  <c r="D24" i="55"/>
  <c r="I11" i="55"/>
  <c r="F11" i="55"/>
  <c r="A11" i="55"/>
  <c r="G8" i="55"/>
  <c r="F6" i="55"/>
  <c r="O19" i="55"/>
  <c r="L8" i="1" s="1"/>
  <c r="N19" i="55"/>
  <c r="X8" i="1" s="1"/>
  <c r="M19" i="55"/>
  <c r="W8" i="1" s="1"/>
  <c r="L19" i="55"/>
  <c r="V8" i="1" s="1"/>
  <c r="K19" i="55"/>
  <c r="U8" i="1" s="1"/>
  <c r="J19" i="55"/>
  <c r="T8" i="1" s="1"/>
  <c r="I19" i="55"/>
  <c r="S8" i="1" s="1"/>
  <c r="H19" i="55"/>
  <c r="R8" i="1" s="1"/>
  <c r="G19" i="55"/>
  <c r="Q8" i="1" s="1"/>
  <c r="F19" i="55"/>
  <c r="P8" i="1" s="1"/>
  <c r="E19" i="55"/>
  <c r="O8" i="1" s="1"/>
  <c r="D19" i="55"/>
  <c r="N8" i="1" s="1"/>
  <c r="C19" i="55"/>
  <c r="M8" i="1" s="1"/>
  <c r="N18" i="55"/>
  <c r="M18" i="55"/>
  <c r="L18" i="55"/>
  <c r="K18" i="55"/>
  <c r="J18" i="55"/>
  <c r="I18" i="55"/>
  <c r="H18" i="55"/>
  <c r="G18" i="55"/>
  <c r="F18" i="55"/>
  <c r="E18" i="55"/>
  <c r="D18" i="55"/>
  <c r="N17" i="55"/>
  <c r="M17" i="55"/>
  <c r="L17" i="55"/>
  <c r="K17" i="55"/>
  <c r="J17" i="55"/>
  <c r="I17" i="55"/>
  <c r="H17" i="55"/>
  <c r="G17" i="55"/>
  <c r="F17" i="55"/>
  <c r="E17" i="55"/>
  <c r="D17" i="55"/>
  <c r="H11" i="55"/>
  <c r="O19" i="36"/>
  <c r="C19" i="36"/>
  <c r="D19" i="36"/>
  <c r="E19" i="36"/>
  <c r="G8" i="38"/>
  <c r="G8" i="36"/>
  <c r="I22" i="61" l="1"/>
  <c r="H19" i="61"/>
  <c r="R11" i="1" s="1"/>
  <c r="G19" i="60"/>
  <c r="Q10" i="1" s="1"/>
  <c r="O19" i="58"/>
  <c r="L15" i="1" s="1"/>
  <c r="N19" i="36"/>
  <c r="M19" i="36"/>
  <c r="L19" i="36"/>
  <c r="K19" i="36"/>
  <c r="J19" i="36"/>
  <c r="I19" i="36"/>
  <c r="H19" i="36"/>
  <c r="G19" i="36"/>
  <c r="F19" i="36"/>
  <c r="N18" i="36"/>
  <c r="M18" i="36"/>
  <c r="L18" i="36"/>
  <c r="K18" i="36"/>
  <c r="J18" i="36"/>
  <c r="I18" i="36"/>
  <c r="H18" i="36"/>
  <c r="G18" i="36"/>
  <c r="F18" i="36"/>
  <c r="E18" i="36"/>
  <c r="D18" i="36"/>
  <c r="N17" i="36"/>
  <c r="M17" i="36"/>
  <c r="L17" i="36"/>
  <c r="K17" i="36"/>
  <c r="J17" i="36"/>
  <c r="I17" i="36"/>
  <c r="H17" i="36"/>
  <c r="G17" i="36"/>
  <c r="F17" i="36"/>
  <c r="E17" i="36"/>
  <c r="D17" i="36"/>
  <c r="J22" i="61" l="1"/>
  <c r="K22" i="61" s="1"/>
  <c r="I19" i="61"/>
  <c r="S11" i="1" s="1"/>
  <c r="H19" i="60"/>
  <c r="R10" i="1" s="1"/>
  <c r="O13" i="1"/>
  <c r="L22" i="61" l="1"/>
  <c r="K19" i="61"/>
  <c r="U11" i="1" s="1"/>
  <c r="J19" i="61"/>
  <c r="T11" i="1" s="1"/>
  <c r="O22" i="60"/>
  <c r="I19" i="60"/>
  <c r="S10" i="1" s="1"/>
  <c r="N14" i="1"/>
  <c r="O14" i="1"/>
  <c r="P14" i="1"/>
  <c r="Q14" i="1"/>
  <c r="R14" i="1"/>
  <c r="S14" i="1"/>
  <c r="T14" i="1"/>
  <c r="U14" i="1"/>
  <c r="V14" i="1"/>
  <c r="W14" i="1"/>
  <c r="X14" i="1"/>
  <c r="M14" i="1"/>
  <c r="L24" i="38"/>
  <c r="H24" i="38"/>
  <c r="D24" i="38"/>
  <c r="L14" i="1"/>
  <c r="I11" i="38"/>
  <c r="H11" i="38"/>
  <c r="F11" i="38"/>
  <c r="A11" i="38"/>
  <c r="F6" i="38"/>
  <c r="N18" i="38"/>
  <c r="M18" i="38"/>
  <c r="L18" i="38"/>
  <c r="K18" i="38"/>
  <c r="J18" i="38"/>
  <c r="I18" i="38"/>
  <c r="H18" i="38"/>
  <c r="G18" i="38"/>
  <c r="F18" i="38"/>
  <c r="E18" i="38"/>
  <c r="D18" i="38"/>
  <c r="N17" i="38"/>
  <c r="M17" i="38"/>
  <c r="L17" i="38"/>
  <c r="K17" i="38"/>
  <c r="J17" i="38"/>
  <c r="I17" i="38"/>
  <c r="H17" i="38"/>
  <c r="G17" i="38"/>
  <c r="F17" i="38"/>
  <c r="E17" i="38"/>
  <c r="D17" i="38"/>
  <c r="L24" i="36"/>
  <c r="H24" i="36"/>
  <c r="D24" i="36"/>
  <c r="I11" i="36"/>
  <c r="H11" i="36"/>
  <c r="F11" i="36"/>
  <c r="A11" i="36"/>
  <c r="F6" i="36"/>
  <c r="X13" i="1"/>
  <c r="W13" i="1"/>
  <c r="V13" i="1"/>
  <c r="U13" i="1"/>
  <c r="T13" i="1"/>
  <c r="S13" i="1"/>
  <c r="R13" i="1"/>
  <c r="Q13" i="1"/>
  <c r="P13" i="1"/>
  <c r="N13" i="1"/>
  <c r="M13" i="1"/>
  <c r="L13" i="1"/>
  <c r="M22" i="61" l="1"/>
  <c r="L19" i="61"/>
  <c r="V11" i="1" s="1"/>
  <c r="J19" i="60"/>
  <c r="T10" i="1" s="1"/>
  <c r="O19" i="60"/>
  <c r="L10" i="1" s="1"/>
  <c r="N22" i="61" l="1"/>
  <c r="N19" i="61" s="1"/>
  <c r="X11" i="1" s="1"/>
  <c r="M19" i="61"/>
  <c r="W11" i="1" s="1"/>
  <c r="O22" i="61" l="1"/>
  <c r="O19" i="61" s="1"/>
  <c r="L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<sst xmlns="http://schemas.openxmlformats.org/spreadsheetml/2006/main" count="1247" uniqueCount="280">
  <si>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</si>
  <si>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</si>
  <si>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</si>
  <si>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</si>
  <si>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</si>
  <si>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</si>
  <si>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</si>
  <si>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</si>
  <si>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</si>
  <si>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</si>
  <si>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</si>
  <si>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</si>
  <si>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</si>
  <si>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</si>
  <si>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</si>
  <si>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</si>
  <si>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</si>
  <si>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</si>
  <si>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</si>
  <si>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</si>
  <si>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rPr>
        <sz val="10"/>
        <rFont val="Tahoma"/>
        <family val="2"/>
      </rPr>
      <t xml:space="preserve">FORMATO: </t>
    </r>
    <r>
      <rPr>
        <b/>
        <sz val="10"/>
        <rFont val="Tahoma"/>
        <family val="2"/>
      </rPr>
      <t>MATRIZ DE REGISTRO Y MEDICIÓN DE INDICADORES</t>
    </r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</si>
  <si>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</si>
  <si>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</si>
  <si>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</si>
  <si>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</si>
  <si>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</si>
  <si>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</si>
  <si>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</si>
  <si>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</si>
  <si>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</si>
  <si>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</si>
  <si>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</si>
  <si>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</si>
  <si>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</si>
  <si>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</si>
  <si>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</si>
  <si>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</si>
  <si>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</si>
  <si>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</si>
  <si>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</si>
  <si>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</si>
  <si>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</si>
  <si>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>IN02</t>
  </si>
  <si>
    <t>IN03</t>
  </si>
  <si>
    <t>IN04</t>
  </si>
  <si>
    <t>IN05</t>
  </si>
  <si>
    <t>IN06</t>
  </si>
  <si>
    <t>IN07</t>
  </si>
  <si>
    <t>IN08</t>
  </si>
  <si>
    <t>IN09</t>
  </si>
  <si>
    <t>SET INDICADORES GESTIÓN</t>
  </si>
  <si>
    <t xml:space="preserve">PROCESO: </t>
  </si>
  <si>
    <t>Anual</t>
  </si>
  <si>
    <t>Trimestral</t>
  </si>
  <si>
    <t>Acum.</t>
  </si>
  <si>
    <t>TIPO DE INDICADOR</t>
  </si>
  <si>
    <t>Eficacia</t>
  </si>
  <si>
    <t>Efectividad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</si>
  <si>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</si>
  <si>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</si>
  <si>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</si>
  <si>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</si>
  <si>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</si>
  <si>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Bimensual</t>
  </si>
  <si>
    <t>Cuatrimestral</t>
  </si>
  <si>
    <t>Semestral</t>
  </si>
  <si>
    <t>TIPO INDICADOR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</si>
  <si>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</si>
  <si>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</si>
  <si>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</si>
  <si>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</si>
  <si>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</si>
  <si>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</si>
  <si>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</si>
  <si>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</si>
  <si>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</si>
  <si>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</si>
  <si>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</si>
  <si>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</si>
  <si>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</si>
  <si>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</si>
  <si>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</si>
  <si>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</si>
  <si>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</si>
  <si>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</si>
  <si>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</si>
  <si>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</si>
  <si>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</si>
  <si>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</si>
  <si>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</si>
  <si>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</si>
  <si>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</si>
  <si>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</si>
  <si>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AH-SP-</t>
  </si>
  <si>
    <t>IN10</t>
  </si>
  <si>
    <t>IN11</t>
  </si>
  <si>
    <t>IN12</t>
  </si>
  <si>
    <t>IN13</t>
  </si>
  <si>
    <t>Eficiencia de Recaudo  Corriente</t>
  </si>
  <si>
    <t>Eficiencia de Recaudo Total</t>
  </si>
  <si>
    <t>Cobertura de medición</t>
  </si>
  <si>
    <t>Calidad del Agua</t>
  </si>
  <si>
    <t>Índice de agua no contabilizada</t>
  </si>
  <si>
    <t>Continuidad del Servicio (Aseo)</t>
  </si>
  <si>
    <t>Disposición en Relleno Sanitario</t>
  </si>
  <si>
    <t>(Valor  Recaudado  Corriente Usuario Final / Valor  Facturado Corriente Usuario Final) x100%</t>
  </si>
  <si>
    <t>Menor al 59%</t>
  </si>
  <si>
    <t>Entre 60% y 79%</t>
  </si>
  <si>
    <t>Entre 80% y 100%</t>
  </si>
  <si>
    <t>Entre 60% y 70%</t>
  </si>
  <si>
    <t>Entre 71% y 100%</t>
  </si>
  <si>
    <t>Días</t>
  </si>
  <si>
    <t>(Cuentas por Cobrar  a particulares y/o oficiales /  Valor Facturado Usuarios particulares y/o oficiales) x 365</t>
  </si>
  <si>
    <t xml:space="preserve">(Inversión realizada / Inversión presupuestada) x 100% </t>
  </si>
  <si>
    <t xml:space="preserve">Medición de acuerdo al IRCA          </t>
  </si>
  <si>
    <t>Mayor al 8%</t>
  </si>
  <si>
    <t>Entre el 5% y el 8%</t>
  </si>
  <si>
    <t>Menor al 5%</t>
  </si>
  <si>
    <t xml:space="preserve">(Volumen  producido - Volumen facturado /   Volumen  producido)   x 100          </t>
  </si>
  <si>
    <t>Mayor al 50%</t>
  </si>
  <si>
    <t>Entre el 30% y el 50%</t>
  </si>
  <si>
    <t>Menor al 30%</t>
  </si>
  <si>
    <t>Número de dias de recolección de residuos sólidos por semestre/ 144</t>
  </si>
  <si>
    <t>Menor al 70%</t>
  </si>
  <si>
    <t>Entre 71% y 90%</t>
  </si>
  <si>
    <t>Entre 91% y 100%</t>
  </si>
  <si>
    <t>Mayor a 45 días</t>
  </si>
  <si>
    <t>Entre 31 y 45 días</t>
  </si>
  <si>
    <t>Menor a 31 días</t>
  </si>
  <si>
    <t>Vr. Facturado corriente usuario final</t>
  </si>
  <si>
    <t>Vr. recaudado corriente usuario final</t>
  </si>
  <si>
    <t>Vr. Total Facturado usuario final</t>
  </si>
  <si>
    <t>Vr. Total Recaudado usuario final</t>
  </si>
  <si>
    <t>Cuentas por cobrar a particulares y/o entidades oficiales</t>
  </si>
  <si>
    <t>Inversión Presupuestada</t>
  </si>
  <si>
    <t>No. de suscriptores</t>
  </si>
  <si>
    <t>No. de domicilios</t>
  </si>
  <si>
    <t>Residuos sólidos recolectados</t>
  </si>
  <si>
    <t>Residuos sólidos producidos</t>
  </si>
  <si>
    <t>No. de medidores en servicio</t>
  </si>
  <si>
    <t>Resultados medición metodológia IRCA</t>
  </si>
  <si>
    <t xml:space="preserve">Volumen producido </t>
  </si>
  <si>
    <t>Volumen facturado</t>
  </si>
  <si>
    <t>No. de días de recolección de residuos sólidos en el semestre</t>
  </si>
  <si>
    <t>Residuos sólidos en relleno sanitario</t>
  </si>
  <si>
    <t>(Residuos sólidos en relleno sanitario / Residuos sólidos producidos)     x 100    %</t>
  </si>
  <si>
    <t>Medir la eficiencia en el recaudo corriente de la prestación de los servicios pubicos domiciliarios de Aguas del Huila.</t>
  </si>
  <si>
    <t>Medir la eficiencia en el recaudo total de la prestación de los servicios pubicos domiciliarios de Aguas del Huila.</t>
  </si>
  <si>
    <t>Controlar la cartera existentes de servicios publicos por edades con el fin de evaluar la rotación de la misma.</t>
  </si>
  <si>
    <t>Realizar el seguimiento a la ejecución de la inversión establecida para la vigencia fiscal respectiva.</t>
  </si>
  <si>
    <t xml:space="preserve">Medir el grado de cobertura en   la prestación del servicio de alcantarillado administrado  por Aguas del Huila. </t>
  </si>
  <si>
    <t xml:space="preserve">Medir el grado de cobertura en   la prestación del servicio de acueducto administrado por Aguas del Huila. </t>
  </si>
  <si>
    <t xml:space="preserve">Medir el grado de cobertura en   la prestación del servicio de aseo administrado  por Aguas del Huila. </t>
  </si>
  <si>
    <t>Lograr que Aguas del Huila facture la totalidad del agua producida.</t>
  </si>
  <si>
    <t>Lograr que los suscriptores del servicio de acueducto de Aguas del Huila, tengan su instrumento medición.</t>
  </si>
  <si>
    <t>Prestar el servico de acueducto en forma continua las 24 horas.</t>
  </si>
  <si>
    <t>Recolectar los residuos solidos en los dias y rutas establecidas en el PEGIRS.</t>
  </si>
  <si>
    <t>Disponer la totalidad de los residuos solidos recolectados en el sitio de disposición final.</t>
  </si>
  <si>
    <t>IN14</t>
  </si>
  <si>
    <t>Monitorear la calidad de agua suministrada a los usuarios por parte de Aguas de Huila.</t>
  </si>
  <si>
    <t>PQR en la prestación del servicio.</t>
  </si>
  <si>
    <t>Medir el grado de satisfación de los suscriptores en la prestación del servicio.</t>
  </si>
  <si>
    <t>Entre 0 y 10%</t>
  </si>
  <si>
    <t>Entre 11% y el 20%</t>
  </si>
  <si>
    <t>Mayor al 21%</t>
  </si>
  <si>
    <t>Número de PQR recibidas</t>
  </si>
  <si>
    <t>Número de suscriptores del servicio</t>
  </si>
  <si>
    <t>Horas sin servicio mensual</t>
  </si>
  <si>
    <t>(720 - Horas sin servicio mensuales) / 720) * 100</t>
  </si>
  <si>
    <t>GESTIÓN DE SERVICIOS PÚBLICOS - SANTA MARÍA</t>
  </si>
  <si>
    <t>&lt; 5%</t>
  </si>
  <si>
    <t>Inversión realizada por mes</t>
  </si>
  <si>
    <t>Inversión Acumulada en el periodo</t>
  </si>
  <si>
    <t>NA</t>
  </si>
  <si>
    <t>&lt; 15%</t>
  </si>
  <si>
    <t>Cobertura   (Acueducto)</t>
  </si>
  <si>
    <t>Cobertura   (Alcantarillado)</t>
  </si>
  <si>
    <t xml:space="preserve">Cobertura   (Servicio de Aseo) </t>
  </si>
  <si>
    <t>Continuidad del servicio (Acueducto)</t>
  </si>
  <si>
    <t>Rotación de Cartera</t>
  </si>
  <si>
    <t>Ejecución de inversiones</t>
  </si>
  <si>
    <t>TABLERO DE INDICADORES BÁSICOS PARA EMPRESAS DE ACUEDUCTO, ALCANTARILLADO Y ASEO</t>
  </si>
  <si>
    <t>AGUAS DEL HUILA S.A. E.S.P.</t>
  </si>
  <si>
    <t>INFORMACIÓN REQUERIDA</t>
  </si>
  <si>
    <t>Unidad</t>
  </si>
  <si>
    <t>Domicilios</t>
  </si>
  <si>
    <t>Suscriptores de Acueducto</t>
  </si>
  <si>
    <t>Suscriptores</t>
  </si>
  <si>
    <t>Suscriptores de Alcantarillado</t>
  </si>
  <si>
    <t>Suscriptores de Aseo</t>
  </si>
  <si>
    <t>Volúmen de agua producida</t>
  </si>
  <si>
    <t>(m3/mes)</t>
  </si>
  <si>
    <t>Volúmen de agua facturada</t>
  </si>
  <si>
    <t>($/mes)</t>
  </si>
  <si>
    <t>Gastos totales</t>
  </si>
  <si>
    <t>Costos de personal</t>
  </si>
  <si>
    <t xml:space="preserve">Valor facturado Corriente servicio de Acueducto </t>
  </si>
  <si>
    <t>Valor recaudado Corriente servicio de Acueducto</t>
  </si>
  <si>
    <t>Valor facturado Corriente servicio de Alcantarillado</t>
  </si>
  <si>
    <t>Valor recaudado Corriente servicio de Alcantarillado</t>
  </si>
  <si>
    <t>Valor facturado Corriente servicio de Aseo</t>
  </si>
  <si>
    <t>Valor recaudado Corriente servicio de Aseo</t>
  </si>
  <si>
    <t>Valor facturado Deuda servicio de Acueducto</t>
  </si>
  <si>
    <t>Valor recaudado Deuda  servicio de Acueducto</t>
  </si>
  <si>
    <t>Valor facturado Deuda  servicio de Alcantarillado</t>
  </si>
  <si>
    <t>Valor recaudadoDeuda   servicio de Alcantarillado</t>
  </si>
  <si>
    <t>Valor facturado Deuda   servicio de Aseo</t>
  </si>
  <si>
    <t>Valor recaudado Deuda  servicio de Aseo</t>
  </si>
  <si>
    <t>Valor facturado Total servicio de Acueducto</t>
  </si>
  <si>
    <t>Valor recaudado Total servicio de Acueducto</t>
  </si>
  <si>
    <t>Valor facturado Total servicio de Alcantarillado</t>
  </si>
  <si>
    <t>Valor recaudado Total  servicio de Alcantarillado</t>
  </si>
  <si>
    <t>Valor facturado Total servicio de Aseo</t>
  </si>
  <si>
    <t>Valor recaudado Total  servicio de Aseo</t>
  </si>
  <si>
    <t>Gran total facturado</t>
  </si>
  <si>
    <t>Gran total recaudado</t>
  </si>
  <si>
    <t>Calidad bacteriológica</t>
  </si>
  <si>
    <t>Cumple</t>
  </si>
  <si>
    <t>Calidad fisicoquiímica</t>
  </si>
  <si>
    <t>Toneladas dispuestas Aseo</t>
  </si>
  <si>
    <t>Total Facturado Corriente</t>
  </si>
  <si>
    <t>Total Recaudado Corriente</t>
  </si>
  <si>
    <t>Total Facturado deuda</t>
  </si>
  <si>
    <t>Total Recaudado deuda</t>
  </si>
  <si>
    <t>Eficiencia Corriente Total</t>
  </si>
  <si>
    <t>Eficiencia Deuda Total</t>
  </si>
  <si>
    <t>INDICADORES</t>
  </si>
  <si>
    <t>Cobertura de Acueducto</t>
  </si>
  <si>
    <t>(%)</t>
  </si>
  <si>
    <t>Cobertura de Alcantarillado</t>
  </si>
  <si>
    <t>Cobertura de Aseo</t>
  </si>
  <si>
    <t>Calidad del agua</t>
  </si>
  <si>
    <t>Apta / No Apta</t>
  </si>
  <si>
    <t>Índice de Agua No Contabilizada</t>
  </si>
  <si>
    <t>Eficiencia  recaudo Corriente Acueducto</t>
  </si>
  <si>
    <t>Eficiencia  recaudo Corriente  Alcantarillado</t>
  </si>
  <si>
    <t>Eficiencia  recaudo Corriente Aseo</t>
  </si>
  <si>
    <t>Eficiencia  recaudo Deuda Acueducto</t>
  </si>
  <si>
    <t>Eficiencia  recaudo Deuda  Alcantarillado</t>
  </si>
  <si>
    <t>Eficiencia  recaudo Deuda Aseo</t>
  </si>
  <si>
    <t>Eficiencia recaudo Total  Acueducto</t>
  </si>
  <si>
    <t>Eficiencia recaudo Total  Alcantarillado</t>
  </si>
  <si>
    <t>Eficiencia recaudo Total Aseo</t>
  </si>
  <si>
    <t>Eficiencia recaudo Total</t>
  </si>
  <si>
    <t>Eficiencia laboral Acueducto y Alcantarillado</t>
  </si>
  <si>
    <t>Utilidad neta</t>
  </si>
  <si>
    <t>INDICADORES DE COBERTURA</t>
  </si>
  <si>
    <t>COBERTURAS DE SERVICIO</t>
  </si>
  <si>
    <t>Vr. Facturado usuarios particulares y/o entidades oficiales - Mes</t>
  </si>
  <si>
    <t>Vr. Facturado usuarios particulares y/o entidades oficiales - Acumulado</t>
  </si>
  <si>
    <t>EMPRESA:</t>
  </si>
  <si>
    <t xml:space="preserve">(Número de Suscriptores servicio de acueducto / Número de Domicilios) x 100% </t>
  </si>
  <si>
    <t xml:space="preserve">(Número de Suscriptores servicio de alcantarillado  / Número de Domicilios) x 100%  </t>
  </si>
  <si>
    <t>(Valor  Recaudado  Total Usuario Final / Valor  total Facturado usuario Final) x100%</t>
  </si>
  <si>
    <t xml:space="preserve">(Residuos sólidos recolectada / Residuos sólidos producidos) x 100%           </t>
  </si>
  <si>
    <t xml:space="preserve">(Número de Medidores en servicio / Número de Suscriptores) x 100%          </t>
  </si>
  <si>
    <t>Número de PQR recibidas / número de suscriptores del servicio *100</t>
  </si>
  <si>
    <t>No. de suscriptores servicio de acueducto</t>
  </si>
  <si>
    <t>No. de suscriptores servicio de alcantarillado</t>
  </si>
  <si>
    <t>No de horas sin servicio</t>
  </si>
  <si>
    <t>No. de PQR recibidas</t>
  </si>
  <si>
    <t>RESULTADOS DE LA VIGENCIA</t>
  </si>
  <si>
    <t>Volúmen de vertimiento de alcantarillado facturado</t>
  </si>
  <si>
    <t>&lt; 1%</t>
  </si>
  <si>
    <t>&lt; %</t>
  </si>
  <si>
    <t>Se recomienda que la oficina de servicios Publicos maneje su presupuesto que permita controlar las invesiones.</t>
  </si>
  <si>
    <t>En este municipio no se atiende el servicio de aseo.</t>
  </si>
  <si>
    <t>NIT 800'100.553-2</t>
  </si>
  <si>
    <t>Versión 5,0</t>
  </si>
  <si>
    <t>RESULTADOS VIGENCIA 2021</t>
  </si>
  <si>
    <t>META 2021</t>
  </si>
  <si>
    <t>Con recursos de las tarifas no se proyectaron inversiones</t>
  </si>
  <si>
    <t>La entidad no presta el servicio de aseo en este municipio</t>
  </si>
  <si>
    <t>La empresa no atiende el servicio de aseo en este municipio.</t>
  </si>
  <si>
    <t>IPUF</t>
  </si>
  <si>
    <r>
      <t xml:space="preserve">MUNICIPIO : </t>
    </r>
    <r>
      <rPr>
        <sz val="14"/>
        <rFont val="Arial"/>
        <family val="2"/>
      </rPr>
      <t>SANTA MARIA</t>
    </r>
  </si>
  <si>
    <t>NIT 800.100.553-2</t>
  </si>
  <si>
    <t>Versión 8.0</t>
  </si>
  <si>
    <t>META  AÑO 2025</t>
  </si>
  <si>
    <t>VIGENCIA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</si>
</sst>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%"/>
    <numFmt numFmtId="165" formatCode="0.0"/>
    <numFmt numFmtId="166" formatCode="#,##0.0"/>
    <numFmt numFmtId="167" formatCode="_-* #,##0_-;\-* #,##0_-;_-* &quot;-&quot;??_-;_-@_-"/>
    <numFmt numFmtId="168" formatCode="_ * #,##0.00_ ;_ * \-#,##0.00_ ;_ * &quot;-&quot;??_ ;_ @_ "/>
    <numFmt numFmtId="169" formatCode="#,##0.000"/>
    <numFmt numFmtId="170" formatCode="_(* #,##0_);_(* \(#,##0\);_(* &quot;-&quot;??_);_(@_)"/>
    <numFmt numFmtId="171" formatCode="_(* #,##0.0_);_(* \(#,##0.0\);_(* &quot;-&quot;??_);_(@_)"/>
    <numFmt numFmtId="172" formatCode="_-* #,##0.0000_-;\-* #,##0.0000_-;_-* &quot;-&quot;??_-;_-@_-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b/>
      <sz val="6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9"/>
      <color theme="1"/>
      <name val="Calibri"/>
      <family val="2"/>
      <scheme val="minor"/>
    </font>
    <font>
      <i/>
      <sz val="8"/>
      <name val="Tahoma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4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</borders>
  <cellStyleXfs count="10">
    <xf numFmtId="0" fontId="0" fillId="0" borderId="0"/>
    <xf numFmtId="0" fontId="1" fillId="0" borderId="0"/>
    <xf numFmtId="9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</cellStyleXfs>
  <cellXfs count="288">
    <xf numFmtId="0" fontId="0" fillId="0" borderId="0" xfId="0"/>
    <xf numFmtId="0" fontId="5" fillId="0" borderId="0" xfId="0" applyFont="1"/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10" fillId="2" borderId="15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9" fontId="8" fillId="0" borderId="0" xfId="1" applyNumberFormat="1" applyFont="1" applyAlignment="1">
      <alignment horizontal="center" vertical="center"/>
    </xf>
    <xf numFmtId="9" fontId="10" fillId="0" borderId="1" xfId="1" applyNumberFormat="1" applyFont="1" applyBorder="1" applyAlignment="1">
      <alignment vertical="center"/>
    </xf>
    <xf numFmtId="164" fontId="8" fillId="7" borderId="1" xfId="1" applyNumberFormat="1" applyFont="1" applyFill="1" applyBorder="1" applyAlignment="1">
      <alignment horizontal="right" vertical="center"/>
    </xf>
    <xf numFmtId="164" fontId="8" fillId="7" borderId="15" xfId="1" applyNumberFormat="1" applyFont="1" applyFill="1" applyBorder="1" applyAlignment="1">
      <alignment horizontal="right" vertical="center"/>
    </xf>
    <xf numFmtId="9" fontId="9" fillId="7" borderId="12" xfId="1" applyNumberFormat="1" applyFont="1" applyFill="1" applyBorder="1" applyAlignment="1">
      <alignment horizontal="center" vertical="center" wrapText="1"/>
    </xf>
    <xf numFmtId="0" fontId="9" fillId="7" borderId="12" xfId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165" fontId="8" fillId="0" borderId="22" xfId="1" applyNumberFormat="1" applyFont="1" applyBorder="1" applyAlignment="1">
      <alignment vertical="center"/>
    </xf>
    <xf numFmtId="0" fontId="8" fillId="7" borderId="15" xfId="1" applyFont="1" applyFill="1" applyBorder="1" applyAlignment="1">
      <alignment vertical="center"/>
    </xf>
    <xf numFmtId="0" fontId="8" fillId="7" borderId="13" xfId="1" applyFont="1" applyFill="1" applyBorder="1" applyAlignment="1">
      <alignment vertical="center"/>
    </xf>
    <xf numFmtId="165" fontId="8" fillId="7" borderId="29" xfId="1" applyNumberFormat="1" applyFont="1" applyFill="1" applyBorder="1" applyAlignment="1">
      <alignment vertical="center"/>
    </xf>
    <xf numFmtId="164" fontId="9" fillId="7" borderId="12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Border="1" applyAlignment="1">
      <alignment vertical="center"/>
    </xf>
    <xf numFmtId="3" fontId="8" fillId="7" borderId="15" xfId="1" applyNumberFormat="1" applyFont="1" applyFill="1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0" fontId="14" fillId="7" borderId="30" xfId="1" applyFont="1" applyFill="1" applyBorder="1" applyAlignment="1">
      <alignment horizontal="right" vertical="center"/>
    </xf>
    <xf numFmtId="0" fontId="2" fillId="0" borderId="36" xfId="1" applyFont="1" applyBorder="1" applyAlignment="1">
      <alignment horizontal="center" vertical="center" textRotation="90" wrapText="1"/>
    </xf>
    <xf numFmtId="164" fontId="15" fillId="0" borderId="36" xfId="0" applyNumberFormat="1" applyFont="1" applyBorder="1" applyAlignment="1">
      <alignment horizontal="center" vertical="center" textRotation="90" wrapText="1"/>
    </xf>
    <xf numFmtId="0" fontId="15" fillId="8" borderId="36" xfId="0" applyFont="1" applyFill="1" applyBorder="1" applyAlignment="1">
      <alignment horizontal="center" vertical="center" textRotation="90" wrapText="1"/>
    </xf>
    <xf numFmtId="0" fontId="19" fillId="5" borderId="36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166" fontId="9" fillId="7" borderId="12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justify" vertical="center" wrapText="1"/>
    </xf>
    <xf numFmtId="0" fontId="9" fillId="0" borderId="12" xfId="1" applyFont="1" applyBorder="1" applyAlignment="1">
      <alignment horizontal="justify" vertical="center" wrapText="1"/>
    </xf>
    <xf numFmtId="0" fontId="2" fillId="0" borderId="36" xfId="1" applyFont="1" applyBorder="1" applyAlignment="1">
      <alignment horizontal="justify" vertical="top" wrapText="1"/>
    </xf>
    <xf numFmtId="0" fontId="17" fillId="0" borderId="36" xfId="0" applyFont="1" applyBorder="1" applyAlignment="1">
      <alignment horizontal="justify" vertical="top" wrapText="1"/>
    </xf>
    <xf numFmtId="164" fontId="10" fillId="0" borderId="1" xfId="1" applyNumberFormat="1" applyFont="1" applyBorder="1" applyAlignment="1">
      <alignment vertical="center"/>
    </xf>
    <xf numFmtId="49" fontId="5" fillId="0" borderId="36" xfId="0" applyNumberFormat="1" applyFont="1" applyBorder="1" applyAlignment="1">
      <alignment horizontal="center" vertical="top"/>
    </xf>
    <xf numFmtId="0" fontId="16" fillId="0" borderId="36" xfId="0" applyFont="1" applyBorder="1" applyAlignment="1">
      <alignment vertical="top" wrapText="1"/>
    </xf>
    <xf numFmtId="0" fontId="16" fillId="0" borderId="37" xfId="0" applyFont="1" applyBorder="1" applyAlignment="1">
      <alignment horizontal="left" vertical="top" wrapText="1"/>
    </xf>
    <xf numFmtId="0" fontId="20" fillId="0" borderId="0" xfId="0" applyFont="1"/>
    <xf numFmtId="0" fontId="22" fillId="0" borderId="0" xfId="0" applyFont="1"/>
    <xf numFmtId="0" fontId="2" fillId="0" borderId="36" xfId="0" applyFont="1" applyBorder="1" applyAlignment="1">
      <alignment horizontal="center" vertical="center" textRotation="90" wrapText="1"/>
    </xf>
    <xf numFmtId="9" fontId="3" fillId="0" borderId="36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vertical="center"/>
    </xf>
    <xf numFmtId="166" fontId="15" fillId="0" borderId="36" xfId="0" applyNumberFormat="1" applyFont="1" applyBorder="1" applyAlignment="1">
      <alignment horizontal="center" vertical="center" textRotation="90" wrapText="1"/>
    </xf>
    <xf numFmtId="0" fontId="9" fillId="0" borderId="22" xfId="1" applyFont="1" applyBorder="1" applyAlignment="1">
      <alignment horizontal="justify" vertical="top" wrapText="1"/>
    </xf>
    <xf numFmtId="3" fontId="8" fillId="7" borderId="1" xfId="1" applyNumberFormat="1" applyFont="1" applyFill="1" applyBorder="1" applyAlignment="1">
      <alignment horizontal="right" vertical="center"/>
    </xf>
    <xf numFmtId="3" fontId="8" fillId="7" borderId="15" xfId="1" applyNumberFormat="1" applyFont="1" applyFill="1" applyBorder="1" applyAlignment="1">
      <alignment horizontal="right" vertical="center"/>
    </xf>
    <xf numFmtId="9" fontId="0" fillId="0" borderId="0" xfId="2" applyFont="1"/>
    <xf numFmtId="3" fontId="9" fillId="0" borderId="1" xfId="1" applyNumberFormat="1" applyFont="1" applyBorder="1" applyAlignment="1">
      <alignment vertical="center"/>
    </xf>
    <xf numFmtId="1" fontId="9" fillId="7" borderId="12" xfId="1" applyNumberFormat="1" applyFont="1" applyFill="1" applyBorder="1" applyAlignment="1">
      <alignment horizontal="center" vertical="center" wrapText="1"/>
    </xf>
    <xf numFmtId="3" fontId="9" fillId="7" borderId="15" xfId="1" applyNumberFormat="1" applyFont="1" applyFill="1" applyBorder="1" applyAlignment="1">
      <alignment vertical="center"/>
    </xf>
    <xf numFmtId="9" fontId="10" fillId="0" borderId="1" xfId="1" applyNumberFormat="1" applyFont="1" applyBorder="1" applyAlignment="1">
      <alignment horizontal="right" vertical="center"/>
    </xf>
    <xf numFmtId="4" fontId="8" fillId="7" borderId="15" xfId="1" applyNumberFormat="1" applyFont="1" applyFill="1" applyBorder="1" applyAlignment="1">
      <alignment vertical="center"/>
    </xf>
    <xf numFmtId="10" fontId="8" fillId="7" borderId="15" xfId="1" applyNumberFormat="1" applyFont="1" applyFill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0" fontId="1" fillId="0" borderId="0" xfId="1"/>
    <xf numFmtId="0" fontId="1" fillId="12" borderId="0" xfId="1" applyFill="1"/>
    <xf numFmtId="3" fontId="9" fillId="0" borderId="0" xfId="1" applyNumberFormat="1" applyFont="1" applyAlignment="1">
      <alignment vertical="center"/>
    </xf>
    <xf numFmtId="0" fontId="8" fillId="0" borderId="1" xfId="1" applyFont="1" applyBorder="1" applyAlignment="1">
      <alignment horizontal="center" vertical="center"/>
    </xf>
    <xf numFmtId="164" fontId="9" fillId="7" borderId="1" xfId="1" applyNumberFormat="1" applyFont="1" applyFill="1" applyBorder="1" applyAlignment="1">
      <alignment horizontal="center" vertical="center"/>
    </xf>
    <xf numFmtId="164" fontId="9" fillId="7" borderId="15" xfId="1" applyNumberFormat="1" applyFont="1" applyFill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quotePrefix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167" fontId="1" fillId="0" borderId="0" xfId="1" applyNumberFormat="1" applyAlignment="1" applyProtection="1">
      <alignment horizontal="center"/>
      <protection locked="0"/>
    </xf>
    <xf numFmtId="168" fontId="27" fillId="0" borderId="0" xfId="4" applyFont="1" applyBorder="1" applyAlignment="1" applyProtection="1">
      <alignment horizontal="center"/>
      <protection locked="0"/>
    </xf>
    <xf numFmtId="0" fontId="2" fillId="11" borderId="1" xfId="1" quotePrefix="1" applyFont="1" applyFill="1" applyBorder="1" applyAlignment="1">
      <alignment horizontal="center" vertical="center"/>
    </xf>
    <xf numFmtId="0" fontId="2" fillId="11" borderId="1" xfId="1" applyFont="1" applyFill="1" applyBorder="1" applyAlignment="1">
      <alignment vertical="center"/>
    </xf>
    <xf numFmtId="0" fontId="2" fillId="11" borderId="1" xfId="1" applyFont="1" applyFill="1" applyBorder="1" applyAlignment="1">
      <alignment horizontal="center" vertical="center" wrapText="1"/>
    </xf>
    <xf numFmtId="0" fontId="1" fillId="11" borderId="1" xfId="1" applyFill="1" applyBorder="1" applyAlignment="1">
      <alignment horizontal="center" vertical="center"/>
    </xf>
    <xf numFmtId="0" fontId="9" fillId="0" borderId="1" xfId="1" applyFont="1" applyBorder="1" applyAlignment="1">
      <alignment horizontal="justify" vertical="top" wrapText="1"/>
    </xf>
    <xf numFmtId="0" fontId="10" fillId="2" borderId="1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justify" vertical="top" wrapText="1"/>
    </xf>
    <xf numFmtId="0" fontId="3" fillId="10" borderId="1" xfId="1" applyFont="1" applyFill="1" applyBorder="1" applyAlignment="1">
      <alignment horizontal="center" vertical="center"/>
    </xf>
    <xf numFmtId="17" fontId="25" fillId="10" borderId="1" xfId="1" applyNumberFormat="1" applyFont="1" applyFill="1" applyBorder="1" applyAlignment="1">
      <alignment horizontal="center" vertical="center"/>
    </xf>
    <xf numFmtId="0" fontId="2" fillId="0" borderId="1" xfId="1" quotePrefix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11" borderId="1" xfId="1" applyFont="1" applyFill="1" applyBorder="1" applyAlignment="1">
      <alignment horizontal="center" vertical="center"/>
    </xf>
    <xf numFmtId="0" fontId="1" fillId="11" borderId="1" xfId="1" applyFill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0" fontId="1" fillId="0" borderId="22" xfId="1" applyBorder="1" applyAlignment="1">
      <alignment horizontal="center" vertical="center"/>
    </xf>
    <xf numFmtId="17" fontId="1" fillId="13" borderId="1" xfId="1" applyNumberFormat="1" applyFill="1" applyBorder="1" applyAlignment="1">
      <alignment horizontal="center" vertical="center"/>
    </xf>
    <xf numFmtId="9" fontId="2" fillId="0" borderId="1" xfId="5" applyFont="1" applyFill="1" applyBorder="1" applyAlignment="1">
      <alignment horizontal="center" vertical="center"/>
    </xf>
    <xf numFmtId="169" fontId="1" fillId="14" borderId="1" xfId="1" applyNumberFormat="1" applyFill="1" applyBorder="1" applyAlignment="1">
      <alignment horizontal="center" vertical="center"/>
    </xf>
    <xf numFmtId="167" fontId="1" fillId="14" borderId="1" xfId="3" applyNumberFormat="1" applyFont="1" applyFill="1" applyBorder="1" applyAlignment="1">
      <alignment horizontal="center" vertical="center"/>
    </xf>
    <xf numFmtId="9" fontId="8" fillId="0" borderId="1" xfId="1" applyNumberFormat="1" applyFont="1" applyBorder="1" applyAlignment="1">
      <alignment vertical="center"/>
    </xf>
    <xf numFmtId="164" fontId="10" fillId="7" borderId="15" xfId="1" applyNumberFormat="1" applyFont="1" applyFill="1" applyBorder="1" applyAlignment="1">
      <alignment vertical="center"/>
    </xf>
    <xf numFmtId="3" fontId="10" fillId="7" borderId="15" xfId="1" applyNumberFormat="1" applyFont="1" applyFill="1" applyBorder="1" applyAlignment="1">
      <alignment vertical="center"/>
    </xf>
    <xf numFmtId="164" fontId="14" fillId="7" borderId="15" xfId="1" applyNumberFormat="1" applyFont="1" applyFill="1" applyBorder="1" applyAlignment="1">
      <alignment vertical="center"/>
    </xf>
    <xf numFmtId="9" fontId="10" fillId="7" borderId="15" xfId="1" applyNumberFormat="1" applyFont="1" applyFill="1" applyBorder="1" applyAlignment="1">
      <alignment vertical="center"/>
    </xf>
    <xf numFmtId="9" fontId="10" fillId="7" borderId="15" xfId="1" applyNumberFormat="1" applyFont="1" applyFill="1" applyBorder="1" applyAlignment="1">
      <alignment horizontal="center" vertical="center"/>
    </xf>
    <xf numFmtId="167" fontId="1" fillId="0" borderId="0" xfId="1" applyNumberFormat="1"/>
    <xf numFmtId="167" fontId="2" fillId="11" borderId="1" xfId="1" applyNumberFormat="1" applyFont="1" applyFill="1" applyBorder="1" applyAlignment="1">
      <alignment horizontal="center" vertical="center"/>
    </xf>
    <xf numFmtId="167" fontId="1" fillId="15" borderId="1" xfId="3" applyNumberFormat="1" applyFont="1" applyFill="1" applyBorder="1" applyAlignment="1" applyProtection="1">
      <alignment vertical="center"/>
      <protection locked="0"/>
    </xf>
    <xf numFmtId="167" fontId="1" fillId="15" borderId="1" xfId="1" applyNumberFormat="1" applyFill="1" applyBorder="1" applyAlignment="1" applyProtection="1">
      <alignment horizontal="center" vertical="center"/>
      <protection locked="0"/>
    </xf>
    <xf numFmtId="167" fontId="1" fillId="15" borderId="50" xfId="1" applyNumberFormat="1" applyFill="1" applyBorder="1" applyAlignment="1" applyProtection="1">
      <alignment horizontal="center" vertical="center"/>
      <protection locked="0"/>
    </xf>
    <xf numFmtId="164" fontId="27" fillId="15" borderId="1" xfId="5" applyNumberFormat="1" applyFont="1" applyFill="1" applyBorder="1" applyAlignment="1" applyProtection="1">
      <alignment horizontal="center" vertical="center"/>
      <protection locked="0"/>
    </xf>
    <xf numFmtId="9" fontId="1" fillId="15" borderId="1" xfId="5" applyFont="1" applyFill="1" applyBorder="1" applyAlignment="1">
      <alignment horizontal="center" vertical="center"/>
    </xf>
    <xf numFmtId="10" fontId="1" fillId="15" borderId="1" xfId="5" applyNumberFormat="1" applyFont="1" applyFill="1" applyBorder="1" applyAlignment="1">
      <alignment horizontal="center" vertical="center"/>
    </xf>
    <xf numFmtId="43" fontId="1" fillId="0" borderId="1" xfId="1" applyNumberFormat="1" applyBorder="1" applyAlignment="1" applyProtection="1">
      <alignment horizontal="center" vertical="center"/>
      <protection locked="0"/>
    </xf>
    <xf numFmtId="167" fontId="1" fillId="12" borderId="0" xfId="1" applyNumberFormat="1" applyFill="1"/>
    <xf numFmtId="43" fontId="1" fillId="0" borderId="0" xfId="1" applyNumberFormat="1"/>
    <xf numFmtId="43" fontId="1" fillId="0" borderId="0" xfId="9" applyFont="1"/>
    <xf numFmtId="167" fontId="31" fillId="0" borderId="1" xfId="3" applyNumberFormat="1" applyFont="1" applyFill="1" applyBorder="1" applyAlignment="1" applyProtection="1">
      <alignment vertical="center"/>
      <protection locked="0"/>
    </xf>
    <xf numFmtId="167" fontId="31" fillId="0" borderId="1" xfId="3" applyNumberFormat="1" applyFont="1" applyBorder="1" applyAlignment="1" applyProtection="1">
      <alignment vertical="center"/>
      <protection locked="0"/>
    </xf>
    <xf numFmtId="167" fontId="31" fillId="11" borderId="1" xfId="3" applyNumberFormat="1" applyFont="1" applyFill="1" applyBorder="1" applyAlignment="1" applyProtection="1">
      <alignment vertical="center"/>
      <protection locked="0"/>
    </xf>
    <xf numFmtId="167" fontId="31" fillId="0" borderId="49" xfId="3" applyNumberFormat="1" applyFont="1" applyFill="1" applyBorder="1" applyAlignment="1" applyProtection="1">
      <alignment vertical="center"/>
      <protection locked="0"/>
    </xf>
    <xf numFmtId="3" fontId="31" fillId="0" borderId="1" xfId="1" applyNumberFormat="1" applyFont="1" applyBorder="1" applyAlignment="1">
      <alignment horizontal="right" vertical="center"/>
    </xf>
    <xf numFmtId="167" fontId="31" fillId="0" borderId="1" xfId="9" applyNumberFormat="1" applyFont="1" applyFill="1" applyBorder="1" applyAlignment="1">
      <alignment vertical="center"/>
    </xf>
    <xf numFmtId="167" fontId="31" fillId="0" borderId="1" xfId="1" applyNumberFormat="1" applyFont="1" applyBorder="1" applyAlignment="1" applyProtection="1">
      <alignment vertical="center"/>
      <protection locked="0"/>
    </xf>
    <xf numFmtId="167" fontId="31" fillId="11" borderId="1" xfId="1" applyNumberFormat="1" applyFont="1" applyFill="1" applyBorder="1" applyAlignment="1" applyProtection="1">
      <alignment vertical="center"/>
      <protection locked="0"/>
    </xf>
    <xf numFmtId="167" fontId="1" fillId="11" borderId="1" xfId="9" applyNumberFormat="1" applyFont="1" applyFill="1" applyBorder="1" applyAlignment="1" applyProtection="1">
      <alignment horizontal="center" vertical="center"/>
      <protection locked="0"/>
    </xf>
    <xf numFmtId="167" fontId="25" fillId="15" borderId="1" xfId="3" applyNumberFormat="1" applyFont="1" applyFill="1" applyBorder="1" applyAlignment="1" applyProtection="1">
      <alignment vertical="center"/>
      <protection locked="0"/>
    </xf>
    <xf numFmtId="167" fontId="1" fillId="11" borderId="1" xfId="9" applyNumberFormat="1" applyFont="1" applyFill="1" applyBorder="1" applyAlignment="1" applyProtection="1">
      <alignment vertical="center"/>
      <protection locked="0"/>
    </xf>
    <xf numFmtId="170" fontId="32" fillId="12" borderId="1" xfId="9" applyNumberFormat="1" applyFont="1" applyFill="1" applyBorder="1"/>
    <xf numFmtId="167" fontId="1" fillId="12" borderId="0" xfId="3" applyNumberFormat="1" applyFont="1" applyFill="1" applyBorder="1" applyAlignment="1" applyProtection="1">
      <alignment vertical="center"/>
      <protection locked="0"/>
    </xf>
    <xf numFmtId="167" fontId="1" fillId="11" borderId="1" xfId="1" applyNumberFormat="1" applyFill="1" applyBorder="1" applyAlignment="1" applyProtection="1">
      <alignment horizontal="center" vertical="center"/>
      <protection locked="0"/>
    </xf>
    <xf numFmtId="43" fontId="1" fillId="11" borderId="1" xfId="1" applyNumberFormat="1" applyFill="1" applyBorder="1" applyAlignment="1" applyProtection="1">
      <alignment horizontal="center" vertical="center"/>
      <protection locked="0"/>
    </xf>
    <xf numFmtId="167" fontId="1" fillId="11" borderId="1" xfId="1" applyNumberFormat="1" applyFill="1" applyBorder="1" applyAlignment="1">
      <alignment horizontal="center" vertical="center"/>
    </xf>
    <xf numFmtId="171" fontId="32" fillId="0" borderId="1" xfId="9" applyNumberFormat="1" applyFont="1" applyBorder="1"/>
    <xf numFmtId="10" fontId="1" fillId="0" borderId="0" xfId="1" applyNumberFormat="1"/>
    <xf numFmtId="172" fontId="1" fillId="0" borderId="0" xfId="1" applyNumberFormat="1"/>
    <xf numFmtId="0" fontId="33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0" fontId="26" fillId="0" borderId="0" xfId="1" applyFont="1" applyAlignment="1">
      <alignment horizontal="left"/>
    </xf>
    <xf numFmtId="0" fontId="34" fillId="0" borderId="0" xfId="1" applyFont="1"/>
    <xf numFmtId="0" fontId="26" fillId="0" borderId="0" xfId="1" applyFont="1" applyAlignment="1" applyProtection="1">
      <alignment horizontal="left"/>
      <protection locked="0"/>
    </xf>
    <xf numFmtId="0" fontId="25" fillId="10" borderId="45" xfId="1" applyFont="1" applyFill="1" applyBorder="1" applyAlignment="1">
      <alignment horizontal="center" vertical="center"/>
    </xf>
    <xf numFmtId="0" fontId="25" fillId="10" borderId="48" xfId="1" applyFont="1" applyFill="1" applyBorder="1" applyAlignment="1">
      <alignment horizontal="center" vertical="center"/>
    </xf>
    <xf numFmtId="0" fontId="34" fillId="0" borderId="0" xfId="1" applyFont="1" applyAlignment="1" applyProtection="1">
      <alignment horizontal="center"/>
      <protection locked="0"/>
    </xf>
    <xf numFmtId="0" fontId="15" fillId="0" borderId="42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8" borderId="36" xfId="0" applyFont="1" applyFill="1" applyBorder="1" applyAlignment="1">
      <alignment horizontal="center" vertical="center" wrapText="1"/>
    </xf>
    <xf numFmtId="0" fontId="15" fillId="7" borderId="36" xfId="0" applyFont="1" applyFill="1" applyBorder="1" applyAlignment="1">
      <alignment horizontal="center" vertical="center" textRotation="90" wrapText="1"/>
    </xf>
    <xf numFmtId="0" fontId="6" fillId="8" borderId="36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textRotation="90" wrapText="1"/>
    </xf>
    <xf numFmtId="0" fontId="4" fillId="8" borderId="36" xfId="0" applyFont="1" applyFill="1" applyBorder="1" applyAlignment="1">
      <alignment horizontal="center" vertical="center" textRotation="90" wrapText="1"/>
    </xf>
    <xf numFmtId="0" fontId="18" fillId="8" borderId="33" xfId="0" applyFont="1" applyFill="1" applyBorder="1" applyAlignment="1">
      <alignment horizontal="right" vertical="center" wrapText="1"/>
    </xf>
    <xf numFmtId="0" fontId="18" fillId="8" borderId="34" xfId="0" applyFont="1" applyFill="1" applyBorder="1" applyAlignment="1">
      <alignment horizontal="right" vertical="center" wrapText="1"/>
    </xf>
    <xf numFmtId="0" fontId="24" fillId="0" borderId="34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0" fillId="9" borderId="38" xfId="0" applyFill="1" applyBorder="1" applyAlignment="1">
      <alignment horizontal="center"/>
    </xf>
    <xf numFmtId="0" fontId="9" fillId="0" borderId="18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30" fillId="0" borderId="16" xfId="1" applyFont="1" applyBorder="1" applyAlignment="1">
      <alignment horizontal="center" vertical="center"/>
    </xf>
    <xf numFmtId="0" fontId="30" fillId="0" borderId="17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7" borderId="8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left" vertical="center"/>
    </xf>
    <xf numFmtId="0" fontId="8" fillId="7" borderId="10" xfId="1" applyFont="1" applyFill="1" applyBorder="1" applyAlignment="1">
      <alignment horizontal="left" vertical="center"/>
    </xf>
    <xf numFmtId="0" fontId="8" fillId="7" borderId="18" xfId="1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horizontal="left" vertical="center"/>
    </xf>
    <xf numFmtId="0" fontId="10" fillId="7" borderId="22" xfId="1" applyFont="1" applyFill="1" applyBorder="1" applyAlignment="1">
      <alignment horizontal="left" vertical="center"/>
    </xf>
    <xf numFmtId="0" fontId="10" fillId="7" borderId="29" xfId="1" applyFont="1" applyFill="1" applyBorder="1" applyAlignment="1">
      <alignment horizontal="left" vertical="center"/>
    </xf>
    <xf numFmtId="0" fontId="8" fillId="7" borderId="11" xfId="1" applyFont="1" applyFill="1" applyBorder="1" applyAlignment="1">
      <alignment horizontal="left" vertical="center"/>
    </xf>
    <xf numFmtId="0" fontId="8" fillId="7" borderId="12" xfId="1" applyFont="1" applyFill="1" applyBorder="1" applyAlignment="1">
      <alignment horizontal="left" vertical="center"/>
    </xf>
    <xf numFmtId="2" fontId="10" fillId="7" borderId="31" xfId="1" applyNumberFormat="1" applyFont="1" applyFill="1" applyBorder="1" applyAlignment="1">
      <alignment horizontal="left" vertical="center"/>
    </xf>
    <xf numFmtId="2" fontId="10" fillId="7" borderId="17" xfId="1" applyNumberFormat="1" applyFont="1" applyFill="1" applyBorder="1" applyAlignment="1">
      <alignment horizontal="left" vertical="center"/>
    </xf>
    <xf numFmtId="2" fontId="10" fillId="7" borderId="19" xfId="1" applyNumberFormat="1" applyFont="1" applyFill="1" applyBorder="1" applyAlignment="1">
      <alignment horizontal="left" vertical="center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textRotation="90" wrapText="1"/>
    </xf>
    <xf numFmtId="0" fontId="14" fillId="2" borderId="1" xfId="1" applyFont="1" applyFill="1" applyBorder="1" applyAlignment="1">
      <alignment horizontal="center" vertical="center" textRotation="90" wrapText="1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 wrapText="1"/>
    </xf>
    <xf numFmtId="0" fontId="8" fillId="7" borderId="45" xfId="1" applyFont="1" applyFill="1" applyBorder="1" applyAlignment="1">
      <alignment horizontal="left" vertical="center"/>
    </xf>
    <xf numFmtId="0" fontId="8" fillId="7" borderId="46" xfId="1" applyFont="1" applyFill="1" applyBorder="1" applyAlignment="1">
      <alignment horizontal="left" vertical="center"/>
    </xf>
    <xf numFmtId="0" fontId="8" fillId="7" borderId="47" xfId="1" applyFont="1" applyFill="1" applyBorder="1" applyAlignment="1">
      <alignment horizontal="left" vertical="center"/>
    </xf>
    <xf numFmtId="0" fontId="12" fillId="7" borderId="8" xfId="1" applyFont="1" applyFill="1" applyBorder="1" applyAlignment="1">
      <alignment horizontal="left" vertical="center"/>
    </xf>
    <xf numFmtId="0" fontId="12" fillId="7" borderId="9" xfId="1" applyFont="1" applyFill="1" applyBorder="1" applyAlignment="1">
      <alignment horizontal="left" vertical="center"/>
    </xf>
    <xf numFmtId="0" fontId="13" fillId="7" borderId="9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/>
    </xf>
    <xf numFmtId="17" fontId="9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9" fillId="7" borderId="11" xfId="1" applyFont="1" applyFill="1" applyBorder="1" applyAlignment="1">
      <alignment horizontal="justify" vertical="top" wrapText="1"/>
    </xf>
    <xf numFmtId="0" fontId="9" fillId="7" borderId="12" xfId="1" applyFont="1" applyFill="1" applyBorder="1" applyAlignment="1">
      <alignment horizontal="justify" vertical="top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7" borderId="16" xfId="1" applyFont="1" applyFill="1" applyBorder="1" applyAlignment="1">
      <alignment horizontal="center" vertical="center"/>
    </xf>
    <xf numFmtId="0" fontId="10" fillId="7" borderId="17" xfId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10" fillId="7" borderId="5" xfId="1" applyFont="1" applyFill="1" applyBorder="1" applyAlignment="1">
      <alignment horizontal="left" vertical="center" wrapText="1"/>
    </xf>
    <xf numFmtId="0" fontId="10" fillId="7" borderId="6" xfId="1" applyFont="1" applyFill="1" applyBorder="1" applyAlignment="1">
      <alignment horizontal="left" vertical="center" wrapText="1"/>
    </xf>
    <xf numFmtId="0" fontId="10" fillId="7" borderId="7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0" fillId="7" borderId="5" xfId="1" applyFont="1" applyFill="1" applyBorder="1" applyAlignment="1">
      <alignment horizontal="left" vertical="center"/>
    </xf>
    <xf numFmtId="0" fontId="10" fillId="7" borderId="6" xfId="1" applyFont="1" applyFill="1" applyBorder="1" applyAlignment="1">
      <alignment horizontal="left" vertical="center"/>
    </xf>
    <xf numFmtId="0" fontId="10" fillId="7" borderId="7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9" fontId="10" fillId="7" borderId="25" xfId="1" applyNumberFormat="1" applyFont="1" applyFill="1" applyBorder="1" applyAlignment="1">
      <alignment horizontal="center" vertical="center"/>
    </xf>
    <xf numFmtId="0" fontId="10" fillId="7" borderId="26" xfId="1" applyFont="1" applyFill="1" applyBorder="1" applyAlignment="1">
      <alignment horizontal="center" vertical="center"/>
    </xf>
    <xf numFmtId="0" fontId="10" fillId="7" borderId="27" xfId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1" fillId="7" borderId="26" xfId="1" applyFont="1" applyFill="1" applyBorder="1" applyAlignment="1">
      <alignment horizontal="center" vertical="center"/>
    </xf>
    <xf numFmtId="0" fontId="11" fillId="7" borderId="27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left" vertical="center"/>
    </xf>
    <xf numFmtId="0" fontId="14" fillId="6" borderId="1" xfId="1" applyFont="1" applyFill="1" applyBorder="1" applyAlignment="1">
      <alignment horizontal="left" vertical="center"/>
    </xf>
    <xf numFmtId="0" fontId="14" fillId="7" borderId="18" xfId="1" applyFont="1" applyFill="1" applyBorder="1" applyAlignment="1">
      <alignment horizontal="center" vertical="center" textRotation="90"/>
    </xf>
    <xf numFmtId="0" fontId="14" fillId="7" borderId="11" xfId="1" applyFont="1" applyFill="1" applyBorder="1" applyAlignment="1">
      <alignment horizontal="center" vertical="center" textRotation="90"/>
    </xf>
    <xf numFmtId="0" fontId="10" fillId="7" borderId="8" xfId="1" applyFont="1" applyFill="1" applyBorder="1" applyAlignment="1">
      <alignment horizontal="center" vertical="center" wrapText="1"/>
    </xf>
    <xf numFmtId="0" fontId="10" fillId="7" borderId="9" xfId="1" applyFont="1" applyFill="1" applyBorder="1" applyAlignment="1">
      <alignment horizontal="center" vertical="center" wrapText="1"/>
    </xf>
    <xf numFmtId="0" fontId="10" fillId="7" borderId="23" xfId="1" applyFont="1" applyFill="1" applyBorder="1" applyAlignment="1">
      <alignment horizontal="center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0" fillId="5" borderId="24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0" fontId="8" fillId="9" borderId="6" xfId="1" applyFont="1" applyFill="1" applyBorder="1" applyAlignment="1">
      <alignment horizontal="center" vertical="center"/>
    </xf>
    <xf numFmtId="0" fontId="10" fillId="7" borderId="15" xfId="1" applyFont="1" applyFill="1" applyBorder="1" applyAlignment="1">
      <alignment horizontal="left" vertical="center"/>
    </xf>
    <xf numFmtId="9" fontId="10" fillId="7" borderId="2" xfId="1" applyNumberFormat="1" applyFont="1" applyFill="1" applyBorder="1" applyAlignment="1">
      <alignment horizontal="center" vertical="center" wrapText="1"/>
    </xf>
    <xf numFmtId="0" fontId="11" fillId="7" borderId="3" xfId="1" applyFont="1" applyFill="1" applyBorder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/>
    </xf>
    <xf numFmtId="2" fontId="10" fillId="7" borderId="32" xfId="1" applyNumberFormat="1" applyFont="1" applyFill="1" applyBorder="1" applyAlignment="1">
      <alignment horizontal="left" vertical="center"/>
    </xf>
    <xf numFmtId="0" fontId="8" fillId="7" borderId="5" xfId="1" applyFont="1" applyFill="1" applyBorder="1" applyAlignment="1">
      <alignment horizontal="center" vertical="center"/>
    </xf>
    <xf numFmtId="0" fontId="8" fillId="7" borderId="6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9" fontId="10" fillId="7" borderId="25" xfId="1" applyNumberFormat="1" applyFont="1" applyFill="1" applyBorder="1" applyAlignment="1">
      <alignment horizontal="center" vertical="center" wrapText="1"/>
    </xf>
    <xf numFmtId="0" fontId="10" fillId="7" borderId="26" xfId="1" applyFont="1" applyFill="1" applyBorder="1" applyAlignment="1">
      <alignment horizontal="center" vertical="center" wrapText="1"/>
    </xf>
    <xf numFmtId="0" fontId="10" fillId="7" borderId="27" xfId="1" applyFont="1" applyFill="1" applyBorder="1" applyAlignment="1">
      <alignment horizontal="center" vertical="center" wrapText="1"/>
    </xf>
    <xf numFmtId="0" fontId="9" fillId="0" borderId="1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10" fillId="7" borderId="14" xfId="1" applyFont="1" applyFill="1" applyBorder="1" applyAlignment="1">
      <alignment horizontal="left" vertical="center"/>
    </xf>
    <xf numFmtId="0" fontId="10" fillId="7" borderId="0" xfId="1" applyFont="1" applyFill="1" applyAlignment="1">
      <alignment horizontal="left" vertical="center"/>
    </xf>
    <xf numFmtId="0" fontId="10" fillId="7" borderId="20" xfId="1" applyFont="1" applyFill="1" applyBorder="1" applyAlignment="1">
      <alignment horizontal="left" vertical="center"/>
    </xf>
    <xf numFmtId="1" fontId="10" fillId="7" borderId="25" xfId="1" applyNumberFormat="1" applyFont="1" applyFill="1" applyBorder="1" applyAlignment="1">
      <alignment horizontal="center" vertical="center"/>
    </xf>
    <xf numFmtId="1" fontId="10" fillId="7" borderId="26" xfId="1" applyNumberFormat="1" applyFont="1" applyFill="1" applyBorder="1" applyAlignment="1">
      <alignment horizontal="center" vertical="center"/>
    </xf>
    <xf numFmtId="1" fontId="10" fillId="7" borderId="27" xfId="1" applyNumberFormat="1" applyFont="1" applyFill="1" applyBorder="1" applyAlignment="1">
      <alignment horizontal="center" vertical="center"/>
    </xf>
    <xf numFmtId="0" fontId="14" fillId="7" borderId="21" xfId="1" applyFont="1" applyFill="1" applyBorder="1" applyAlignment="1">
      <alignment horizontal="center" vertical="center" textRotation="90"/>
    </xf>
    <xf numFmtId="0" fontId="9" fillId="7" borderId="30" xfId="1" applyFont="1" applyFill="1" applyBorder="1" applyAlignment="1">
      <alignment horizontal="justify" vertical="top" wrapText="1"/>
    </xf>
    <xf numFmtId="0" fontId="9" fillId="7" borderId="44" xfId="1" applyFont="1" applyFill="1" applyBorder="1" applyAlignment="1">
      <alignment horizontal="justify" vertical="top" wrapText="1"/>
    </xf>
    <xf numFmtId="0" fontId="0" fillId="0" borderId="44" xfId="0" applyBorder="1" applyAlignment="1">
      <alignment horizontal="justify" vertical="top"/>
    </xf>
    <xf numFmtId="0" fontId="9" fillId="0" borderId="14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20" xfId="1" applyFont="1" applyBorder="1" applyAlignment="1">
      <alignment horizontal="center" vertical="center"/>
    </xf>
  </cellXfs>
  <cellStyles count="10">
    <cellStyle name="Millares" xfId="9" builtinId="3"/>
    <cellStyle name="Millares 2" xfId="4" xr:uid="{00000000-0005-0000-0000-000001000000}"/>
    <cellStyle name="Millares_Tablero de Indicadores" xfId="3" xr:uid="{00000000-0005-0000-0000-000002000000}"/>
    <cellStyle name="Normal" xfId="0" builtinId="0"/>
    <cellStyle name="Normal 2" xfId="1" xr:uid="{00000000-0005-0000-0000-000004000000}"/>
    <cellStyle name="Normal 7" xfId="6" xr:uid="{00000000-0005-0000-0000-000005000000}"/>
    <cellStyle name="Normal 8" xfId="8" xr:uid="{00000000-0005-0000-0000-000006000000}"/>
    <cellStyle name="Normal 9" xfId="7" xr:uid="{00000000-0005-0000-0000-000007000000}"/>
    <cellStyle name="Porcentaje" xfId="2" builtinId="5"/>
    <cellStyle name="Porcentaje 2" xfId="5" xr:uid="{00000000-0005-0000-0000-000009000000}"/>
  </cellStyles>
  <dxfs count="27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'01'!$C$18:$N$18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5-4625-957D-6FAB6657035E}"/>
            </c:ext>
          </c:extLst>
        </c:ser>
        <c:ser>
          <c:idx val="1"/>
          <c:order val="1"/>
          <c:tx>
            <c:strRef>
              <c:f>'01'!$A$19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'01'!$C$19:$N$19</c:f>
              <c:numCache>
                <c:formatCode>0.0%</c:formatCode>
                <c:ptCount val="12"/>
                <c:pt idx="0">
                  <c:v>0.83679622368025863</c:v>
                </c:pt>
                <c:pt idx="1">
                  <c:v>0.83347308086743099</c:v>
                </c:pt>
                <c:pt idx="2">
                  <c:v>0.85137354595437564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0.83484479242864684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B5-4625-957D-6FAB66570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8753152"/>
        <c:axId val="268754944"/>
      </c:lineChart>
      <c:catAx>
        <c:axId val="268753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68754944"/>
        <c:crosses val="autoZero"/>
        <c:auto val="1"/>
        <c:lblAlgn val="ctr"/>
        <c:lblOffset val="100"/>
        <c:noMultiLvlLbl val="0"/>
      </c:catAx>
      <c:valAx>
        <c:axId val="26875494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687531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55" l="0.70000000000000062" r="0.70000000000000062" t="0.75000000000000855" header="0.30000000000000032" footer="0.30000000000000032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'10'!$C$16:$N$16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'10'!$C$18:$N$18</c:f>
              <c:numCache>
                <c:formatCode>0.0%</c:formatCode>
                <c:ptCount val="1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7-41AB-8DEB-BC49CD07BF2B}"/>
            </c:ext>
          </c:extLst>
        </c:ser>
        <c:ser>
          <c:idx val="1"/>
          <c:order val="1"/>
          <c:tx>
            <c:strRef>
              <c:f>'10'!$A$19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'10'!$C$16:$N$16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'10'!$C$19:$N$19</c:f>
              <c:numCache>
                <c:formatCode>0.0%</c:formatCode>
                <c:ptCount val="12"/>
                <c:pt idx="0">
                  <c:v>0.28140411952422395</c:v>
                </c:pt>
                <c:pt idx="1">
                  <c:v>-9.923339011925042E-2</c:v>
                </c:pt>
                <c:pt idx="2">
                  <c:v>0.17486203261610964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0.27547102947256513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7-41AB-8DEB-BC49CD07B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41408"/>
        <c:axId val="305451392"/>
      </c:lineChart>
      <c:catAx>
        <c:axId val="305441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5451392"/>
        <c:crosses val="autoZero"/>
        <c:auto val="1"/>
        <c:lblAlgn val="ctr"/>
        <c:lblOffset val="100"/>
        <c:noMultiLvlLbl val="0"/>
      </c:catAx>
      <c:valAx>
        <c:axId val="30545139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54414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77" l="0.70000000000000062" r="0.70000000000000062" t="0.75000000000000877" header="0.30000000000000032" footer="0.30000000000000032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'11'!$C$18:$N$18</c:f>
              <c:numCache>
                <c:formatCode>0%</c:formatCode>
                <c:ptCount val="12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  <c:pt idx="5">
                  <c:v>0.99</c:v>
                </c:pt>
                <c:pt idx="6">
                  <c:v>0.99</c:v>
                </c:pt>
                <c:pt idx="7">
                  <c:v>0.99</c:v>
                </c:pt>
                <c:pt idx="8">
                  <c:v>0.99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A-4810-B74F-E2F04A00885E}"/>
            </c:ext>
          </c:extLst>
        </c:ser>
        <c:ser>
          <c:idx val="1"/>
          <c:order val="1"/>
          <c:tx>
            <c:strRef>
              <c:f>'11'!$A$19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'11'!$C$19:$N$19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A-4810-B74F-E2F04A008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4813952"/>
        <c:axId val="304815488"/>
      </c:lineChart>
      <c:catAx>
        <c:axId val="304813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4815488"/>
        <c:crosses val="autoZero"/>
        <c:auto val="1"/>
        <c:lblAlgn val="ctr"/>
        <c:lblOffset val="100"/>
        <c:noMultiLvlLbl val="0"/>
      </c:catAx>
      <c:valAx>
        <c:axId val="3048154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48139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99" l="0.70000000000000062" r="0.70000000000000062" t="0.75000000000000899" header="0.30000000000000032" footer="0.30000000000000032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'12'!$C$18:$N$18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4-4175-81E3-0B2F353EBA30}"/>
            </c:ext>
          </c:extLst>
        </c:ser>
        <c:ser>
          <c:idx val="1"/>
          <c:order val="1"/>
          <c:tx>
            <c:strRef>
              <c:f>'12'!$A$19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'12'!$C$19:$N$19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4-4175-81E3-0B2F353EB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292224"/>
        <c:axId val="306293760"/>
      </c:lineChart>
      <c:catAx>
        <c:axId val="306292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6293760"/>
        <c:crosses val="autoZero"/>
        <c:auto val="1"/>
        <c:lblAlgn val="ctr"/>
        <c:lblOffset val="100"/>
        <c:noMultiLvlLbl val="0"/>
      </c:catAx>
      <c:valAx>
        <c:axId val="3062937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62922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21" l="0.70000000000000062" r="0.70000000000000062" t="0.75000000000000921" header="0.30000000000000032" footer="0.30000000000000032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'13'!$A$18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'13'!$C$18:$N$18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29-415D-9928-586A0122B0EB}"/>
            </c:ext>
          </c:extLst>
        </c:ser>
        <c:ser>
          <c:idx val="1"/>
          <c:order val="1"/>
          <c:tx>
            <c:strRef>
              <c:f>'13'!$A$19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'13'!$C$19:$N$19</c:f>
              <c:numCache>
                <c:formatCode>0.0%</c:formatCode>
                <c:ptCount val="12"/>
                <c:pt idx="0">
                  <c:v>0</c:v>
                </c:pt>
                <c:pt idx="1">
                  <c:v>2.5906735751295338E-3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9-415D-9928-586A0122B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123520"/>
        <c:axId val="306125056"/>
      </c:lineChart>
      <c:catAx>
        <c:axId val="306123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6125056"/>
        <c:crosses val="autoZero"/>
        <c:auto val="1"/>
        <c:lblAlgn val="ctr"/>
        <c:lblOffset val="100"/>
        <c:noMultiLvlLbl val="0"/>
      </c:catAx>
      <c:valAx>
        <c:axId val="3061250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61235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66" l="0.70000000000000062" r="0.70000000000000062" t="0.75000000000000966" header="0.30000000000000032" footer="0.30000000000000032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'14'!$A$18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'14'!$C$18:$N$18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7-4EE4-A992-34C94C8DBA7C}"/>
            </c:ext>
          </c:extLst>
        </c:ser>
        <c:ser>
          <c:idx val="1"/>
          <c:order val="1"/>
          <c:tx>
            <c:strRef>
              <c:f>'14'!$A$19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'14'!$C$19:$N$19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7-4EE4-A992-34C94C8DB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318784"/>
        <c:axId val="307320320"/>
      </c:lineChart>
      <c:catAx>
        <c:axId val="307318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7320320"/>
        <c:crosses val="autoZero"/>
        <c:auto val="1"/>
        <c:lblAlgn val="ctr"/>
        <c:lblOffset val="100"/>
        <c:noMultiLvlLbl val="0"/>
      </c:catAx>
      <c:valAx>
        <c:axId val="3073203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73187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44" l="0.70000000000000062" r="0.70000000000000062" t="0.75000000000000944" header="0.30000000000000032" footer="0.30000000000000032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view3D>
      <c:rotX val="66"/>
      <c:hPercent val="57"/>
      <c:rotY val="39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56255841259646E-2"/>
          <c:y val="1.049871457388701E-2"/>
          <c:w val="0.91718819975904575"/>
          <c:h val="0.85826991641526362"/>
        </c:manualLayout>
      </c:layout>
      <c:bar3DChart>
        <c:barDir val="col"/>
        <c:grouping val="standard"/>
        <c:varyColors val="0"/>
        <c:ser>
          <c:idx val="0"/>
          <c:order val="0"/>
          <c:tx>
            <c:v>Acueducto</c:v>
          </c:tx>
          <c:invertIfNegative val="0"/>
          <c:dLbls>
            <c:dLbl>
              <c:idx val="0"/>
              <c:layout>
                <c:manualLayout>
                  <c:x val="3.1626562159270811E-3"/>
                  <c:y val="-0.10362318148700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0E-487B-A305-AD12C6A32A72}"/>
                </c:ext>
              </c:extLst>
            </c:dLbl>
            <c:dLbl>
              <c:idx val="1"/>
              <c:layout>
                <c:manualLayout>
                  <c:x val="7.7893490880024058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0E-487B-A305-AD12C6A32A72}"/>
                </c:ext>
              </c:extLst>
            </c:dLbl>
            <c:dLbl>
              <c:idx val="2"/>
              <c:layout>
                <c:manualLayout>
                  <c:x val="9.2910395758895748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0E-487B-A305-AD12C6A32A72}"/>
                </c:ext>
              </c:extLst>
            </c:dLbl>
            <c:dLbl>
              <c:idx val="3"/>
              <c:layout>
                <c:manualLayout>
                  <c:x val="7.6677276795890596E-3"/>
                  <c:y val="-0.10362318148700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0E-487B-A305-AD12C6A32A72}"/>
                </c:ext>
              </c:extLst>
            </c:dLbl>
            <c:dLbl>
              <c:idx val="4"/>
              <c:layout>
                <c:manualLayout>
                  <c:x val="9.1694181674763526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0E-487B-A305-AD12C6A32A72}"/>
                </c:ext>
              </c:extLst>
            </c:dLbl>
            <c:dLbl>
              <c:idx val="5"/>
              <c:layout>
                <c:manualLayout>
                  <c:x val="1.3796111039551327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0E-487B-A305-AD12C6A32A72}"/>
                </c:ext>
              </c:extLst>
            </c:dLbl>
            <c:dLbl>
              <c:idx val="6"/>
              <c:layout>
                <c:manualLayout>
                  <c:x val="1.5297965569433402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0E-487B-A305-AD12C6A32A72}"/>
                </c:ext>
              </c:extLst>
            </c:dLbl>
            <c:dLbl>
              <c:idx val="7"/>
              <c:layout>
                <c:manualLayout>
                  <c:x val="1.6799656057320637E-2"/>
                  <c:y val="-8.0001073695753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0E-487B-A305-AD12C6A32A72}"/>
                </c:ext>
              </c:extLst>
            </c:dLbl>
            <c:dLbl>
              <c:idx val="8"/>
              <c:layout>
                <c:manualLayout>
                  <c:x val="1.8301346545207983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0E-487B-A305-AD12C6A32A72}"/>
                </c:ext>
              </c:extLst>
            </c:dLbl>
            <c:dLbl>
              <c:idx val="9"/>
              <c:layout>
                <c:manualLayout>
                  <c:x val="1.9802872991101148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0E-487B-A305-AD12C6A32A72}"/>
                </c:ext>
              </c:extLst>
            </c:dLbl>
            <c:dLbl>
              <c:idx val="10"/>
              <c:layout>
                <c:manualLayout>
                  <c:x val="2.1304727520982676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0E-487B-A305-AD12C6A32A72}"/>
                </c:ext>
              </c:extLst>
            </c:dLbl>
            <c:dLbl>
              <c:idx val="11"/>
              <c:layout>
                <c:manualLayout>
                  <c:x val="2.2806418008870916E-2"/>
                  <c:y val="-8.0001073695753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0E-487B-A305-AD12C6A32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'STA MARIA2020'!$D$52:$I$52</c:f>
              <c:numCache>
                <c:formatCode>mmm\-yy</c:formatCode>
                <c:ptCount val="6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</c:numCache>
            </c:numRef>
          </c:cat>
          <c:val>
            <c:numRef>
              <c:f>'STA MARIA2020'!$D$53:$I$53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50E-487B-A305-AD12C6A32A72}"/>
            </c:ext>
          </c:extLst>
        </c:ser>
        <c:ser>
          <c:idx val="1"/>
          <c:order val="1"/>
          <c:tx>
            <c:v>Alcanatrillado</c:v>
          </c:tx>
          <c:invertIfNegative val="0"/>
          <c:dLbls>
            <c:dLbl>
              <c:idx val="0"/>
              <c:layout>
                <c:manualLayout>
                  <c:x val="6.5585229278869485E-3"/>
                  <c:y val="-0.136455752413419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0E-487B-A305-AD12C6A32A72}"/>
                </c:ext>
              </c:extLst>
            </c:dLbl>
            <c:dLbl>
              <c:idx val="1"/>
              <c:layout>
                <c:manualLayout>
                  <c:x val="8.0602134157742467E-3"/>
                  <c:y val="-0.13908043105689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0E-487B-A305-AD12C6A32A72}"/>
                </c:ext>
              </c:extLst>
            </c:dLbl>
            <c:dLbl>
              <c:idx val="2"/>
              <c:layout>
                <c:manualLayout>
                  <c:x val="3.3120631772811113E-3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0E-487B-A305-AD12C6A32A72}"/>
                </c:ext>
              </c:extLst>
            </c:dLbl>
            <c:dLbl>
              <c:idx val="3"/>
              <c:layout>
                <c:manualLayout>
                  <c:x val="1.1063758433543685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0E-487B-A305-AD12C6A32A72}"/>
                </c:ext>
              </c:extLst>
            </c:dLbl>
            <c:dLbl>
              <c:idx val="4"/>
              <c:layout>
                <c:manualLayout>
                  <c:x val="9.4404465372440252E-3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0E-487B-A305-AD12C6A32A72}"/>
                </c:ext>
              </c:extLst>
            </c:dLbl>
            <c:dLbl>
              <c:idx val="5"/>
              <c:layout>
                <c:manualLayout>
                  <c:x val="1.0942137025130683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0E-487B-A305-AD12C6A32A72}"/>
                </c:ext>
              </c:extLst>
            </c:dLbl>
            <c:dLbl>
              <c:idx val="6"/>
              <c:layout>
                <c:manualLayout>
                  <c:x val="1.2443827513018488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0E-487B-A305-AD12C6A32A72}"/>
                </c:ext>
              </c:extLst>
            </c:dLbl>
            <c:dLbl>
              <c:idx val="7"/>
              <c:layout>
                <c:manualLayout>
                  <c:x val="1.3945518000905771E-2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0E-487B-A305-AD12C6A32A72}"/>
                </c:ext>
              </c:extLst>
            </c:dLbl>
            <c:dLbl>
              <c:idx val="8"/>
              <c:layout>
                <c:manualLayout>
                  <c:x val="1.2322206104605014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0E-487B-A305-AD12C6A32A72}"/>
                </c:ext>
              </c:extLst>
            </c:dLbl>
            <c:dLbl>
              <c:idx val="9"/>
              <c:layout>
                <c:manualLayout>
                  <c:x val="2.0073901360867612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0E-487B-A305-AD12C6A32A72}"/>
                </c:ext>
              </c:extLst>
            </c:dLbl>
            <c:dLbl>
              <c:idx val="10"/>
              <c:layout>
                <c:manualLayout>
                  <c:x val="2.1575591848754946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0E-487B-A305-AD12C6A32A72}"/>
                </c:ext>
              </c:extLst>
            </c:dLbl>
            <c:dLbl>
              <c:idx val="11"/>
              <c:layout>
                <c:manualLayout>
                  <c:x val="1.6827277568267577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0E-487B-A305-AD12C6A32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'STA MARIA2020'!$D$52:$I$52</c:f>
              <c:numCache>
                <c:formatCode>mmm\-yy</c:formatCode>
                <c:ptCount val="6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</c:numCache>
            </c:numRef>
          </c:cat>
          <c:val>
            <c:numRef>
              <c:f>'STA MARIA2020'!$D$54:$I$54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50E-487B-A305-AD12C6A32A72}"/>
            </c:ext>
          </c:extLst>
        </c:ser>
        <c:ser>
          <c:idx val="2"/>
          <c:order val="2"/>
          <c:tx>
            <c:v>Aseo</c:v>
          </c:tx>
          <c:invertIfNegative val="0"/>
          <c:dLbls>
            <c:dLbl>
              <c:idx val="0"/>
              <c:layout>
                <c:manualLayout>
                  <c:x val="8.3295512976541228E-3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0E-487B-A305-AD12C6A32A72}"/>
                </c:ext>
              </c:extLst>
            </c:dLbl>
            <c:dLbl>
              <c:idx val="1"/>
              <c:layout>
                <c:manualLayout>
                  <c:x val="8.2687405934475048E-3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0E-487B-A305-AD12C6A32A72}"/>
                </c:ext>
              </c:extLst>
            </c:dLbl>
            <c:dLbl>
              <c:idx val="2"/>
              <c:layout>
                <c:manualLayout>
                  <c:x val="1.13329322734286E-2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0E-487B-A305-AD12C6A32A72}"/>
                </c:ext>
              </c:extLst>
            </c:dLbl>
            <c:dLbl>
              <c:idx val="3"/>
              <c:layout>
                <c:manualLayout>
                  <c:x val="8.1471191850344959E-3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0E-487B-A305-AD12C6A32A72}"/>
                </c:ext>
              </c:extLst>
            </c:dLbl>
            <c:dLbl>
              <c:idx val="4"/>
              <c:layout>
                <c:manualLayout>
                  <c:x val="1.7461315633390855E-2"/>
                  <c:y val="-0.13376768268030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0E-487B-A305-AD12C6A32A72}"/>
                </c:ext>
              </c:extLst>
            </c:dLbl>
            <c:dLbl>
              <c:idx val="5"/>
              <c:layout>
                <c:manualLayout>
                  <c:x val="1.2713001352902861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0E-487B-A305-AD12C6A32A72}"/>
                </c:ext>
              </c:extLst>
            </c:dLbl>
            <c:dLbl>
              <c:idx val="6"/>
              <c:layout>
                <c:manualLayout>
                  <c:x val="1.4214691840790198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0E-487B-A305-AD12C6A32A72}"/>
                </c:ext>
              </c:extLst>
            </c:dLbl>
            <c:dLbl>
              <c:idx val="7"/>
              <c:layout>
                <c:manualLayout>
                  <c:x val="1.5716382328677544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50E-487B-A305-AD12C6A32A72}"/>
                </c:ext>
              </c:extLst>
            </c:dLbl>
            <c:dLbl>
              <c:idx val="8"/>
              <c:layout>
                <c:manualLayout>
                  <c:x val="1.721807281656489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50E-487B-A305-AD12C6A32A72}"/>
                </c:ext>
              </c:extLst>
            </c:dLbl>
            <c:dLbl>
              <c:idx val="9"/>
              <c:layout>
                <c:manualLayout>
                  <c:x val="1.8719763304452127E-2"/>
                  <c:y val="-0.11539493217599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50E-487B-A305-AD12C6A32A72}"/>
                </c:ext>
              </c:extLst>
            </c:dLbl>
            <c:dLbl>
              <c:idx val="10"/>
              <c:layout>
                <c:manualLayout>
                  <c:x val="2.3346456176527138E-2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50E-487B-A305-AD12C6A32A72}"/>
                </c:ext>
              </c:extLst>
            </c:dLbl>
            <c:dLbl>
              <c:idx val="11"/>
              <c:layout>
                <c:manualLayout>
                  <c:x val="2.4848146664415295E-2"/>
                  <c:y val="-0.1206442894629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50E-487B-A305-AD12C6A32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'STA MARIA2020'!$D$52:$I$52</c:f>
              <c:numCache>
                <c:formatCode>mmm\-yy</c:formatCode>
                <c:ptCount val="6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</c:numCache>
            </c:numRef>
          </c:cat>
          <c:val>
            <c:numRef>
              <c:f>'STA MARIA2020'!$D$55:$I$55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B50E-487B-A305-AD12C6A32A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04526080"/>
        <c:axId val="304527616"/>
        <c:axId val="305445952"/>
      </c:bar3DChart>
      <c:dateAx>
        <c:axId val="3045260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04527616"/>
        <c:crosses val="autoZero"/>
        <c:auto val="1"/>
        <c:lblOffset val="100"/>
        <c:baseTimeUnit val="months"/>
        <c:majorUnit val="1"/>
        <c:minorUnit val="1"/>
      </c:dateAx>
      <c:valAx>
        <c:axId val="3045276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04526080"/>
        <c:crosses val="autoZero"/>
        <c:crossBetween val="between"/>
      </c:valAx>
      <c:serAx>
        <c:axId val="305445952"/>
        <c:scaling>
          <c:orientation val="minMax"/>
        </c:scaling>
        <c:delete val="1"/>
        <c:axPos val="b"/>
        <c:majorTickMark val="out"/>
        <c:minorTickMark val="none"/>
        <c:tickLblPos val="none"/>
        <c:crossAx val="30452761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1414495039409914E-2"/>
          <c:y val="0.91565633930223456"/>
          <c:w val="0.45625034351737903"/>
          <c:h val="7.3107049608355096E-2"/>
        </c:manualLayout>
      </c:layout>
      <c:overlay val="0"/>
      <c:txPr>
        <a:bodyPr/>
        <a:lstStyle/>
        <a:p>
          <a:pPr>
            <a:defRPr lang="es-ES"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u="sng"/>
            </a:pPr>
            <a:r>
              <a:rPr lang="es-CO" sz="1200" u="sng"/>
              <a:t>INDICADORES </a:t>
            </a:r>
            <a:r>
              <a:rPr lang="es-CO" sz="1200" u="sng" baseline="0"/>
              <a:t> FACTURACION Y RECAUDO DEL CORRIENTE</a:t>
            </a:r>
          </a:p>
          <a:p>
            <a:pPr>
              <a:defRPr lang="es-ES" u="sng"/>
            </a:pPr>
            <a:r>
              <a:rPr lang="es-CO" sz="1200" u="sng" baseline="0"/>
              <a:t>SANTA MARIA</a:t>
            </a:r>
          </a:p>
          <a:p>
            <a:pPr>
              <a:defRPr lang="es-ES" u="sng"/>
            </a:pPr>
            <a:endParaRPr lang="es-CO" sz="1200" u="sng" baseline="0"/>
          </a:p>
          <a:p>
            <a:pPr>
              <a:defRPr lang="es-ES" u="sng"/>
            </a:pPr>
            <a:endParaRPr lang="es-CO" sz="1200" u="sng"/>
          </a:p>
        </c:rich>
      </c:tx>
      <c:layout>
        <c:manualLayout>
          <c:xMode val="edge"/>
          <c:yMode val="edge"/>
          <c:x val="0.26996884319578351"/>
          <c:y val="3.2303370191111416E-2"/>
        </c:manualLayout>
      </c:layout>
      <c:overlay val="0"/>
    </c:title>
    <c:autoTitleDeleted val="0"/>
    <c:view3D>
      <c:rotX val="90"/>
      <c:rotY val="2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'STA MARIA2020'!$B$43</c:f>
              <c:strCache>
                <c:ptCount val="1"/>
                <c:pt idx="0">
                  <c:v>Total Facturado Corriente</c:v>
                </c:pt>
              </c:strCache>
            </c:strRef>
          </c:tx>
          <c:spPr>
            <a:solidFill>
              <a:srgbClr val="7030A0"/>
            </a:solidFill>
            <a:ln w="6350">
              <a:noFill/>
            </a:ln>
            <a:effectLst>
              <a:innerShdw blurRad="63500" dist="50800" dir="13500000">
                <a:schemeClr val="accent2">
                  <a:lumMod val="60000"/>
                  <a:lumOff val="40000"/>
                  <a:alpha val="50000"/>
                </a:scheme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angle"/>
              <a:bevelB w="139700" prst="cross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7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'STA MARIA2020'!$D$42:$K$42</c:f>
              <c:numCache>
                <c:formatCode>mmm\-yy</c:formatCode>
                <c:ptCount val="8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</c:numCache>
            </c:numRef>
          </c:cat>
          <c:val>
            <c:numRef>
              <c:f>'STA MARIA2020'!$D$43:$K$43</c:f>
              <c:numCache>
                <c:formatCode>_-* #,##0_-;\-* #,##0_-;_-* "-"??_-;_-@_-</c:formatCode>
                <c:ptCount val="8"/>
                <c:pt idx="0">
                  <c:v>37687063</c:v>
                </c:pt>
                <c:pt idx="1">
                  <c:v>45881549</c:v>
                </c:pt>
                <c:pt idx="2">
                  <c:v>39111651</c:v>
                </c:pt>
                <c:pt idx="3">
                  <c:v>39098089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3-4AAB-B366-DE72A3F9AF8A}"/>
            </c:ext>
          </c:extLst>
        </c:ser>
        <c:ser>
          <c:idx val="1"/>
          <c:order val="1"/>
          <c:tx>
            <c:strRef>
              <c:f>'STA MARIA2020'!$B$44</c:f>
              <c:strCache>
                <c:ptCount val="1"/>
                <c:pt idx="0">
                  <c:v>Total Recaudado Corriente</c:v>
                </c:pt>
              </c:strCache>
            </c:strRef>
          </c:tx>
          <c:spPr>
            <a:solidFill>
              <a:srgbClr val="B91777"/>
            </a:solidFill>
            <a:ln w="12700" cmpd="sng">
              <a:noFill/>
            </a:ln>
            <a:effectLst>
              <a:innerShdw blurRad="63500" dist="50800" dir="10560000">
                <a:srgbClr val="7030A0">
                  <a:alpha val="50000"/>
                </a:srgb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relaxedInset"/>
              <a:bevelB w="44450" h="50800" prst="coolSlant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7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'STA MARIA2020'!$D$42:$K$42</c:f>
              <c:numCache>
                <c:formatCode>mmm\-yy</c:formatCode>
                <c:ptCount val="8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</c:numCache>
            </c:numRef>
          </c:cat>
          <c:val>
            <c:numRef>
              <c:f>'STA MARIA2020'!$D$44:$K$44</c:f>
              <c:numCache>
                <c:formatCode>_-* #,##0_-;\-* #,##0_-;_-* "-"??_-;_-@_-</c:formatCode>
                <c:ptCount val="8"/>
                <c:pt idx="0">
                  <c:v>31536392</c:v>
                </c:pt>
                <c:pt idx="1">
                  <c:v>38241036</c:v>
                </c:pt>
                <c:pt idx="2">
                  <c:v>33298625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53-4AAB-B366-DE72A3F9A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07603328"/>
        <c:axId val="307604864"/>
        <c:axId val="0"/>
      </c:bar3DChart>
      <c:dateAx>
        <c:axId val="3076033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7604864"/>
        <c:crosses val="autoZero"/>
        <c:auto val="1"/>
        <c:lblOffset val="100"/>
        <c:baseTimeUnit val="months"/>
      </c:dateAx>
      <c:valAx>
        <c:axId val="307604864"/>
        <c:scaling>
          <c:orientation val="minMax"/>
        </c:scaling>
        <c:delete val="0"/>
        <c:axPos val="l"/>
        <c:majorGridlines>
          <c:spPr>
            <a:ln>
              <a:solidFill>
                <a:schemeClr val="accent4">
                  <a:lumMod val="75000"/>
                </a:schemeClr>
              </a:solidFill>
            </a:ln>
          </c:spPr>
        </c:majorGridlines>
        <c:numFmt formatCode="_-* #,##0_-;\-* #,##0_-;_-* &quot;-&quot;??_-;_-@_-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7603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645433344828918"/>
          <c:y val="0.48162721703818839"/>
          <c:w val="0.32381168629406193"/>
          <c:h val="0.12988053264102942"/>
        </c:manualLayout>
      </c:layout>
      <c:overlay val="0"/>
      <c:spPr>
        <a:ln>
          <a:noFill/>
        </a:ln>
      </c:spPr>
      <c:txPr>
        <a:bodyPr/>
        <a:lstStyle/>
        <a:p>
          <a:pPr>
            <a:defRPr lang="es-ES" sz="1000" b="1">
              <a:latin typeface="Tahoma" pitchFamily="34" charset="0"/>
              <a:ea typeface="Tahoma" pitchFamily="34" charset="0"/>
              <a:cs typeface="Tahoma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gradFill>
      <a:gsLst>
        <a:gs pos="0">
          <a:srgbClr val="8064A2">
            <a:lumMod val="75000"/>
          </a:srgbClr>
        </a:gs>
        <a:gs pos="51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7200000" scaled="0"/>
    </a:gradFill>
    <a:ln cap="rnd" cmpd="sng">
      <a:solidFill>
        <a:srgbClr val="7030A0"/>
      </a:solidFill>
    </a:ln>
    <a:effectLst>
      <a:innerShdw blurRad="584200" dist="660400" dir="18600000">
        <a:srgbClr val="FFFF00">
          <a:alpha val="72000"/>
        </a:srgbClr>
      </a:innerShdw>
    </a:effectLst>
    <a:scene3d>
      <a:camera prst="orthographicFront"/>
      <a:lightRig rig="threePt" dir="t"/>
    </a:scene3d>
    <a:sp3d>
      <a:bevelT w="254000" prst="relaxedInset"/>
      <a:bevelB w="82550" h="222250" prst="angle"/>
    </a:sp3d>
  </c:sp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u="sng"/>
            </a:pPr>
            <a:r>
              <a:rPr lang="es-CO" sz="1200" u="sng"/>
              <a:t>INDICADORES </a:t>
            </a:r>
            <a:r>
              <a:rPr lang="es-CO" sz="1200" u="sng" baseline="0"/>
              <a:t> FACTURACION Y RECAUDO DE LA DEUDA</a:t>
            </a:r>
          </a:p>
          <a:p>
            <a:pPr>
              <a:defRPr lang="es-ES" u="sng"/>
            </a:pPr>
            <a:r>
              <a:rPr lang="es-CO" sz="1200" u="sng" baseline="0"/>
              <a:t>SANTA MARIA</a:t>
            </a:r>
          </a:p>
          <a:p>
            <a:pPr>
              <a:defRPr lang="es-ES" u="sng"/>
            </a:pPr>
            <a:endParaRPr lang="es-CO" sz="1200" u="sng" baseline="0"/>
          </a:p>
          <a:p>
            <a:pPr>
              <a:defRPr lang="es-ES" u="sng"/>
            </a:pPr>
            <a:endParaRPr lang="es-CO" sz="1200" u="sng"/>
          </a:p>
        </c:rich>
      </c:tx>
      <c:layout>
        <c:manualLayout>
          <c:xMode val="edge"/>
          <c:yMode val="edge"/>
          <c:x val="0.26996884319578363"/>
          <c:y val="3.2303370191111416E-2"/>
        </c:manualLayout>
      </c:layout>
      <c:overlay val="0"/>
    </c:title>
    <c:autoTitleDeleted val="0"/>
    <c:view3D>
      <c:rotX val="90"/>
      <c:rotY val="2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'STA MARIA2020'!$B$46</c:f>
              <c:strCache>
                <c:ptCount val="1"/>
                <c:pt idx="0">
                  <c:v>Total Facturado deuda</c:v>
                </c:pt>
              </c:strCache>
            </c:strRef>
          </c:tx>
          <c:spPr>
            <a:solidFill>
              <a:srgbClr val="7030A0"/>
            </a:solidFill>
            <a:ln w="6350">
              <a:noFill/>
            </a:ln>
            <a:effectLst>
              <a:innerShdw blurRad="63500" dist="50800" dir="13500000">
                <a:schemeClr val="accent2">
                  <a:lumMod val="60000"/>
                  <a:lumOff val="40000"/>
                  <a:alpha val="50000"/>
                </a:scheme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angle"/>
              <a:bevelB w="139700" prst="cross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7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'STA MARIA2020'!$D$45:$K$45</c:f>
              <c:numCache>
                <c:formatCode>mmm\-yy</c:formatCode>
                <c:ptCount val="8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</c:numCache>
            </c:numRef>
          </c:cat>
          <c:val>
            <c:numRef>
              <c:f>'STA MARIA2020'!$D$46:$K$46</c:f>
              <c:numCache>
                <c:formatCode>_-* #,##0_-;\-* #,##0_-;_-* "-"??_-;_-@_-</c:formatCode>
                <c:ptCount val="8"/>
                <c:pt idx="0">
                  <c:v>7558708</c:v>
                </c:pt>
                <c:pt idx="1">
                  <c:v>7057121</c:v>
                </c:pt>
                <c:pt idx="2">
                  <c:v>7818770</c:v>
                </c:pt>
                <c:pt idx="3">
                  <c:v>6028371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4-4A8F-857C-2125145AE352}"/>
            </c:ext>
          </c:extLst>
        </c:ser>
        <c:ser>
          <c:idx val="1"/>
          <c:order val="1"/>
          <c:tx>
            <c:strRef>
              <c:f>'STA MARIA2020'!$B$47</c:f>
              <c:strCache>
                <c:ptCount val="1"/>
                <c:pt idx="0">
                  <c:v>Total Recaudado deuda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7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'STA MARIA2020'!$D$45:$K$45</c:f>
              <c:numCache>
                <c:formatCode>mmm\-yy</c:formatCode>
                <c:ptCount val="8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</c:numCache>
            </c:numRef>
          </c:cat>
          <c:val>
            <c:numRef>
              <c:f>'STA MARIA2020'!$D$47:$K$47</c:f>
              <c:numCache>
                <c:formatCode>_-* #,##0_-;\-* #,##0_-;_-* "-"??_-;_-@_-</c:formatCode>
                <c:ptCount val="8"/>
                <c:pt idx="0">
                  <c:v>6859208</c:v>
                </c:pt>
                <c:pt idx="1">
                  <c:v>6878864</c:v>
                </c:pt>
                <c:pt idx="2">
                  <c:v>6787025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04-4A8F-857C-2125145AE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06051328"/>
        <c:axId val="307539968"/>
        <c:axId val="0"/>
      </c:bar3DChart>
      <c:dateAx>
        <c:axId val="3060513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7539968"/>
        <c:crosses val="autoZero"/>
        <c:auto val="1"/>
        <c:lblOffset val="100"/>
        <c:baseTimeUnit val="months"/>
      </c:dateAx>
      <c:valAx>
        <c:axId val="307539968"/>
        <c:scaling>
          <c:orientation val="minMax"/>
        </c:scaling>
        <c:delete val="0"/>
        <c:axPos val="l"/>
        <c:majorGridlines>
          <c:spPr>
            <a:ln>
              <a:solidFill>
                <a:schemeClr val="accent4">
                  <a:lumMod val="75000"/>
                </a:schemeClr>
              </a:solidFill>
            </a:ln>
          </c:spPr>
        </c:majorGridlines>
        <c:numFmt formatCode="_-* #,##0_-;\-* #,##0_-;_-* &quot;-&quot;??_-;_-@_-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6051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331335328748167"/>
          <c:y val="0.48162721703818839"/>
          <c:w val="0.28530913415694042"/>
          <c:h val="9.6637524391800747E-2"/>
        </c:manualLayout>
      </c:layout>
      <c:overlay val="0"/>
      <c:spPr>
        <a:ln>
          <a:noFill/>
        </a:ln>
      </c:spPr>
      <c:txPr>
        <a:bodyPr/>
        <a:lstStyle/>
        <a:p>
          <a:pPr>
            <a:defRPr lang="es-ES" sz="1000" b="1">
              <a:latin typeface="Tahoma" pitchFamily="34" charset="0"/>
              <a:ea typeface="Tahoma" pitchFamily="34" charset="0"/>
              <a:cs typeface="Tahoma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gradFill>
      <a:gsLst>
        <a:gs pos="0">
          <a:srgbClr val="8064A2">
            <a:lumMod val="75000"/>
          </a:srgbClr>
        </a:gs>
        <a:gs pos="51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7200000" scaled="0"/>
    </a:gradFill>
    <a:ln cap="rnd" cmpd="sng">
      <a:solidFill>
        <a:srgbClr val="7030A0"/>
      </a:solidFill>
    </a:ln>
    <a:effectLst>
      <a:innerShdw blurRad="584200" dist="660400" dir="18600000">
        <a:srgbClr val="FFFF00">
          <a:alpha val="72000"/>
        </a:srgbClr>
      </a:innerShdw>
    </a:effectLst>
    <a:scene3d>
      <a:camera prst="orthographicFront"/>
      <a:lightRig rig="threePt" dir="t"/>
    </a:scene3d>
    <a:sp3d>
      <a:bevelT w="254000" prst="relaxedInset"/>
      <a:bevelB w="82550" h="222250" prst="angle"/>
    </a:sp3d>
  </c:sp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lang="es-ES"/>
          </a:pPr>
          <a:endParaRPr lang="es-CO"/>
        </a:p>
      </c:txPr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276130531739491"/>
          <c:y val="0.17701375076360004"/>
          <c:w val="0.60739737286053452"/>
          <c:h val="0.6827158063575410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'STA MARIA2020'!$B$57:$C$57</c:f>
              <c:strCache>
                <c:ptCount val="2"/>
                <c:pt idx="0">
                  <c:v>Índice de Agua No Contabilizada</c:v>
                </c:pt>
                <c:pt idx="1">
                  <c:v>(%)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'STA MARIA2020'!$D$52:$K$52</c:f>
              <c:numCache>
                <c:formatCode>mmm\-yy</c:formatCode>
                <c:ptCount val="8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</c:numCache>
            </c:numRef>
          </c:cat>
          <c:val>
            <c:numRef>
              <c:f>'STA MARIA2020'!$D$57:$K$57</c:f>
              <c:numCache>
                <c:formatCode>0.00%</c:formatCode>
                <c:ptCount val="8"/>
                <c:pt idx="0">
                  <c:v>0.28139999999999998</c:v>
                </c:pt>
                <c:pt idx="1">
                  <c:v>-9.9199999999999997E-2</c:v>
                </c:pt>
                <c:pt idx="2">
                  <c:v>0.1749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7-400C-8E85-7B58B88C4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07561600"/>
        <c:axId val="307563136"/>
        <c:axId val="0"/>
      </c:bar3DChart>
      <c:dateAx>
        <c:axId val="3075616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lang="es-ES" sz="800" baseline="0"/>
            </a:pPr>
            <a:endParaRPr lang="es-CO"/>
          </a:p>
        </c:txPr>
        <c:crossAx val="307563136"/>
        <c:crosses val="autoZero"/>
        <c:auto val="1"/>
        <c:lblOffset val="100"/>
        <c:baseTimeUnit val="months"/>
      </c:dateAx>
      <c:valAx>
        <c:axId val="30756313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7561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465097283721053"/>
          <c:y val="0.50187299504228444"/>
          <c:w val="0.21534902716278995"/>
          <c:h val="0.13965660542432196"/>
        </c:manualLayout>
      </c:layout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'02'!$C$18:$N$18</c:f>
              <c:numCache>
                <c:formatCode>0.0%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A2-44F8-A1BF-9D4BA49905AC}"/>
            </c:ext>
          </c:extLst>
        </c:ser>
        <c:ser>
          <c:idx val="1"/>
          <c:order val="1"/>
          <c:tx>
            <c:strRef>
              <c:f>'02'!$A$19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'02'!$C$19:$N$19</c:f>
              <c:numCache>
                <c:formatCode>0.0%</c:formatCode>
                <c:ptCount val="12"/>
                <c:pt idx="0">
                  <c:v>0.84860085597834101</c:v>
                </c:pt>
                <c:pt idx="1">
                  <c:v>0.8523051296906401</c:v>
                </c:pt>
                <c:pt idx="2">
                  <c:v>0.85415065848226679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0.84706474763074935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A2-44F8-A1BF-9D4BA4990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022720"/>
        <c:axId val="269024256"/>
      </c:lineChart>
      <c:catAx>
        <c:axId val="269022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69024256"/>
        <c:crosses val="autoZero"/>
        <c:auto val="1"/>
        <c:lblAlgn val="ctr"/>
        <c:lblOffset val="100"/>
        <c:noMultiLvlLbl val="0"/>
      </c:catAx>
      <c:valAx>
        <c:axId val="26902425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690227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77" l="0.70000000000000062" r="0.70000000000000062" t="0.75000000000000877" header="0.30000000000000032" footer="0.30000000000000032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'03'!$A$18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'03'!$C$18:$N$18</c:f>
              <c:numCache>
                <c:formatCode>#,##0</c:formatCode>
                <c:ptCount val="1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5-41CE-898F-6F09366163AD}"/>
            </c:ext>
          </c:extLst>
        </c:ser>
        <c:ser>
          <c:idx val="1"/>
          <c:order val="1"/>
          <c:tx>
            <c:strRef>
              <c:f>'03'!$A$19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'03'!$C$19:$N$19</c:f>
              <c:numCache>
                <c:formatCode>#,##0</c:formatCode>
                <c:ptCount val="12"/>
                <c:pt idx="0">
                  <c:v>5.4529356665442466</c:v>
                </c:pt>
                <c:pt idx="1">
                  <c:v>5.6136650923435223</c:v>
                </c:pt>
                <c:pt idx="2">
                  <c:v>5.0214221500323974</c:v>
                </c:pt>
                <c:pt idx="3">
                  <c:v>33.472804816308184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12.644022208375866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5-41CE-898F-6F0936616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8915456"/>
        <c:axId val="268916992"/>
      </c:lineChart>
      <c:catAx>
        <c:axId val="268915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68916992"/>
        <c:crosses val="autoZero"/>
        <c:auto val="1"/>
        <c:lblAlgn val="ctr"/>
        <c:lblOffset val="100"/>
        <c:noMultiLvlLbl val="0"/>
      </c:catAx>
      <c:valAx>
        <c:axId val="2689169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6891545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99" l="0.70000000000000062" r="0.70000000000000062" t="0.75000000000000899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'04'!$A$18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'04'!$C$18:$N$18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A-41C3-869C-C007C884B8B4}"/>
            </c:ext>
          </c:extLst>
        </c:ser>
        <c:ser>
          <c:idx val="1"/>
          <c:order val="1"/>
          <c:tx>
            <c:strRef>
              <c:f>'04'!$A$19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A-41C3-869C-C007C884B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0459264"/>
        <c:axId val="270460800"/>
      </c:lineChart>
      <c:catAx>
        <c:axId val="27045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70460800"/>
        <c:crosses val="autoZero"/>
        <c:auto val="1"/>
        <c:lblAlgn val="ctr"/>
        <c:lblOffset val="100"/>
        <c:noMultiLvlLbl val="0"/>
      </c:catAx>
      <c:valAx>
        <c:axId val="27046080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7045926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99" l="0.70000000000000062" r="0.70000000000000062" t="0.75000000000000899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'05'!$A$18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'05'!$C$16:$N$16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5-4FE9-A7CE-9D2C688CF9E6}"/>
            </c:ext>
          </c:extLst>
        </c:ser>
        <c:ser>
          <c:idx val="1"/>
          <c:order val="1"/>
          <c:tx>
            <c:strRef>
              <c:f>'05'!$A$19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'05'!$C$16:$N$16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0.99921321793863105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65-4FE9-A7CE-9D2C688CF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0146176"/>
        <c:axId val="270156160"/>
      </c:lineChart>
      <c:catAx>
        <c:axId val="270146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70156160"/>
        <c:crosses val="autoZero"/>
        <c:auto val="1"/>
        <c:lblAlgn val="ctr"/>
        <c:lblOffset val="100"/>
        <c:noMultiLvlLbl val="0"/>
      </c:catAx>
      <c:valAx>
        <c:axId val="2701561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701461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21" l="0.70000000000000062" r="0.70000000000000062" t="0.75000000000000921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'06'!$A$18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'06'!$C$16:$N$16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'06'!$C$18:$N$18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23-4612-8F23-0F09B6CC1C7D}"/>
            </c:ext>
          </c:extLst>
        </c:ser>
        <c:ser>
          <c:idx val="1"/>
          <c:order val="1"/>
          <c:tx>
            <c:strRef>
              <c:f>'06'!$A$19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'06'!$C$16:$N$16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'06'!$C$19:$N$19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0.92289535798583788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23-4612-8F23-0F09B6CC1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0636928"/>
        <c:axId val="270638464"/>
      </c:lineChart>
      <c:catAx>
        <c:axId val="270636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70638464"/>
        <c:crosses val="autoZero"/>
        <c:auto val="1"/>
        <c:lblAlgn val="ctr"/>
        <c:lblOffset val="100"/>
        <c:noMultiLvlLbl val="0"/>
      </c:catAx>
      <c:valAx>
        <c:axId val="2706384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7063692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55" l="0.70000000000000062" r="0.70000000000000062" t="0.75000000000000855" header="0.30000000000000032" footer="0.30000000000000032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'07'!$A$18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'07'!$C$16:$N$16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'07'!$C$18:$N$18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1-4A68-A05E-8F58B12D80BB}"/>
            </c:ext>
          </c:extLst>
        </c:ser>
        <c:ser>
          <c:idx val="1"/>
          <c:order val="1"/>
          <c:tx>
            <c:strRef>
              <c:f>'07'!$A$19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'07'!$C$16:$N$16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'07'!$C$19:$N$19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1-4A68-A05E-8F58B12D8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4669824"/>
        <c:axId val="304671360"/>
      </c:lineChart>
      <c:catAx>
        <c:axId val="304669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4671360"/>
        <c:crosses val="autoZero"/>
        <c:auto val="1"/>
        <c:lblAlgn val="ctr"/>
        <c:lblOffset val="100"/>
        <c:noMultiLvlLbl val="0"/>
      </c:catAx>
      <c:valAx>
        <c:axId val="30467136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4669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99" l="0.70000000000000062" r="0.70000000000000062" t="0.75000000000000899" header="0.30000000000000032" footer="0.30000000000000032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'08'!$A$18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'08'!$C$16:$N$16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'08'!$C$18:$N$18</c:f>
              <c:numCache>
                <c:formatCode>0.0%</c:formatCode>
                <c:ptCount val="12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D-4ED5-B8B7-7063C5513623}"/>
            </c:ext>
          </c:extLst>
        </c:ser>
        <c:ser>
          <c:idx val="1"/>
          <c:order val="1"/>
          <c:tx>
            <c:strRef>
              <c:f>'08'!$A$19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'08'!$C$16:$N$16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'08'!$C$19:$N$19</c:f>
              <c:numCache>
                <c:formatCode>0.0%</c:formatCode>
                <c:ptCount val="12"/>
                <c:pt idx="0">
                  <c:v>0.98562300319488816</c:v>
                </c:pt>
                <c:pt idx="1">
                  <c:v>0.99044585987261147</c:v>
                </c:pt>
                <c:pt idx="2">
                  <c:v>0.9912698412698413</c:v>
                </c:pt>
                <c:pt idx="3">
                  <c:v>0.98735177865612644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D-4ED5-B8B7-7063C5513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4701824"/>
        <c:axId val="304703360"/>
      </c:lineChart>
      <c:catAx>
        <c:axId val="304701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4703360"/>
        <c:crosses val="autoZero"/>
        <c:auto val="1"/>
        <c:lblAlgn val="ctr"/>
        <c:lblOffset val="100"/>
        <c:noMultiLvlLbl val="0"/>
      </c:catAx>
      <c:valAx>
        <c:axId val="30470336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4701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21" l="0.70000000000000062" r="0.70000000000000062" t="0.75000000000000921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'09'!$A$18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'09'!$C$16:$N$16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'09'!$C$18:$N$18</c:f>
              <c:numCache>
                <c:formatCode>0.0%</c:formatCod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A6-4D57-A073-274827055C42}"/>
            </c:ext>
          </c:extLst>
        </c:ser>
        <c:ser>
          <c:idx val="1"/>
          <c:order val="1"/>
          <c:tx>
            <c:strRef>
              <c:f>'09'!$A$19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'09'!$C$16:$N$16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'09'!$C$19:$N$19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A6-4D57-A073-274827055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339776"/>
        <c:axId val="305386624"/>
      </c:lineChart>
      <c:catAx>
        <c:axId val="305339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5386624"/>
        <c:crosses val="autoZero"/>
        <c:auto val="1"/>
        <c:lblAlgn val="ctr"/>
        <c:lblOffset val="100"/>
        <c:noMultiLvlLbl val="0"/>
      </c:catAx>
      <c:valAx>
        <c:axId val="30538662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53397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55" l="0.70000000000000062" r="0.70000000000000062" t="0.75000000000000855" header="0.30000000000000032" footer="0.30000000000000032"/>
    <c:pageSetup orientation="landscape"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chart" Target="../charts/char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561975</xdr:colOff>
          <xdr:row>0</xdr:row>
          <xdr:rowOff>57150</xdr:rowOff>
        </xdr:from>
        <xdr:to>
          <xdr:col>2</xdr:col>
          <xdr:colOff>714375</xdr:colOff>
          <xdr:row>3</xdr:row>
          <xdr:rowOff>85725</xdr:rowOff>
        </xdr:to>
        <xdr:sp macro="" textlink="">
          <xdr:nvSpPr>
            <xdr:cNvPr id="1027" name="Object 5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DE9887-0E93-4FA5-9969-7991C9417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98CC77-A466-4961-A0E2-5EC02B500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E22E4F-BDF3-4458-AF22-2797588A3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6D1216-16B0-4272-94E0-39B489549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DDBD79-3B9B-4CA3-BEC4-02A4763B0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31EEE8-F433-4032-A00D-2FAB8B103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71</xdr:row>
      <xdr:rowOff>114300</xdr:rowOff>
    </xdr:from>
    <xdr:to>
      <xdr:col>4</xdr:col>
      <xdr:colOff>714374</xdr:colOff>
      <xdr:row>94</xdr:row>
      <xdr:rowOff>76200</xdr:rowOff>
    </xdr:to>
    <xdr:graphicFrame macro="">
      <xdr:nvGraphicFramePr>
        <xdr:cNvPr id="2" name="Chart 28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354496</xdr:colOff>
      <xdr:row>96</xdr:row>
      <xdr:rowOff>66261</xdr:rowOff>
    </xdr:from>
    <xdr:to>
      <xdr:col>5</xdr:col>
      <xdr:colOff>894521</xdr:colOff>
      <xdr:row>124</xdr:row>
      <xdr:rowOff>145774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419100</xdr:colOff>
      <xdr:row>127</xdr:row>
      <xdr:rowOff>76200</xdr:rowOff>
    </xdr:from>
    <xdr:to>
      <xdr:col>6</xdr:col>
      <xdr:colOff>38099</xdr:colOff>
      <xdr:row>156</xdr:row>
      <xdr:rowOff>28574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262555</xdr:colOff>
      <xdr:row>72</xdr:row>
      <xdr:rowOff>57979</xdr:rowOff>
    </xdr:from>
    <xdr:to>
      <xdr:col>14</xdr:col>
      <xdr:colOff>142874</xdr:colOff>
      <xdr:row>91</xdr:row>
      <xdr:rowOff>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0A6BCC-5668-43EA-B40A-E44496772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2507DB-361A-47AD-8D42-5A25B1F5B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27</xdr:row>
      <xdr:rowOff>171450</xdr:rowOff>
    </xdr:from>
    <xdr:to>
      <xdr:col>13</xdr:col>
      <xdr:colOff>276225</xdr:colOff>
      <xdr:row>27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444400-040C-40D5-9125-179DDA00A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27</xdr:row>
      <xdr:rowOff>171450</xdr:rowOff>
    </xdr:from>
    <xdr:to>
      <xdr:col>13</xdr:col>
      <xdr:colOff>276225</xdr:colOff>
      <xdr:row>27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2E2CBB-52BB-4470-834C-12BDB4170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6C3C21-1BBB-44C3-9ADC-A36CC39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FE94FD-0D58-40F1-AF3A-6E4F7C177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9591FC-D57C-45E5-923B-84D85B6FE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7B4982-1E33-4AAE-9462-8022C023F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7"/>
  <sheetViews>
    <sheetView workbookViewId="0">
      <pane ySplit="7" topLeftCell="A14" activePane="bottomLeft" state="frozen"/>
      <selection activeCell="F1" sqref="F1"/>
      <selection pane="bottomLeft" activeCell="F17" sqref="F17"/>
    </sheetView>
  </sheetViews>
  <sheetFormatPr baseColWidth="10" defaultRowHeight="15" x14ac:dyDescent="0.25"/>
  <cols>
    <col min="1" max="1" width="4.140625" customWidth="1"/>
    <col min="2" max="2" width="18.7109375" customWidth="1"/>
    <col min="3" max="3" width="28.5703125" customWidth="1"/>
    <col min="4" max="4" width="19.7109375" customWidth="1"/>
    <col min="5" max="6" width="4.5703125" customWidth="1"/>
    <col min="7" max="7" width="8.7109375" customWidth="1"/>
    <col min="8" max="8" width="9.5703125" customWidth="1"/>
    <col min="9" max="9" width="10.5703125" customWidth="1"/>
    <col min="10" max="10" width="3.140625" customWidth="1"/>
    <col min="11" max="11" width="3" customWidth="1"/>
    <col min="12" max="12" width="4" customWidth="1"/>
    <col min="13" max="24" width="4.28515625" customWidth="1"/>
    <col min="25" max="25" width="5.140625" customWidth="1"/>
    <col min="26" max="26" width="11.42578125" hidden="1" customWidth="1"/>
    <col min="27" max="27" width="0" hidden="1" customWidth="1"/>
    <col min="29" max="30" width="11.42578125" customWidth="1"/>
  </cols>
  <sheetData>
    <row r="1" spans="1:24" ht="12" customHeight="1" thickTop="1" x14ac:dyDescent="0.25">
      <c r="A1" s="141"/>
      <c r="B1" s="142"/>
      <c r="C1" s="143"/>
      <c r="D1" s="135" t="s">
        <v>182</v>
      </c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7"/>
    </row>
    <row r="2" spans="1:24" ht="12" customHeight="1" thickBot="1" x14ac:dyDescent="0.3">
      <c r="A2" s="144"/>
      <c r="B2" s="145"/>
      <c r="C2" s="146"/>
      <c r="D2" s="158" t="s">
        <v>267</v>
      </c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60"/>
    </row>
    <row r="3" spans="1:24" ht="15" customHeight="1" thickTop="1" x14ac:dyDescent="0.25">
      <c r="A3" s="144"/>
      <c r="B3" s="145"/>
      <c r="C3" s="145"/>
      <c r="D3" s="161" t="s">
        <v>50</v>
      </c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3"/>
    </row>
    <row r="4" spans="1:24" ht="10.5" customHeight="1" thickBot="1" x14ac:dyDescent="0.3">
      <c r="A4" s="147"/>
      <c r="B4" s="148"/>
      <c r="C4" s="148"/>
      <c r="D4" s="138" t="s">
        <v>268</v>
      </c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40"/>
    </row>
    <row r="5" spans="1:24" ht="18" customHeight="1" thickTop="1" thickBot="1" x14ac:dyDescent="0.3">
      <c r="A5" s="154" t="s">
        <v>51</v>
      </c>
      <c r="B5" s="155"/>
      <c r="C5" s="155"/>
      <c r="D5" s="155"/>
      <c r="E5" s="155"/>
      <c r="F5" s="155"/>
      <c r="G5" s="155"/>
      <c r="H5" s="155"/>
      <c r="I5" s="155"/>
      <c r="J5" s="156" t="s">
        <v>169</v>
      </c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7"/>
    </row>
    <row r="6" spans="1:24" ht="30.75" customHeight="1" thickTop="1" thickBot="1" x14ac:dyDescent="0.3">
      <c r="A6" s="149" t="s">
        <v>1</v>
      </c>
      <c r="B6" s="149"/>
      <c r="C6" s="149" t="s">
        <v>2</v>
      </c>
      <c r="D6" s="149" t="s">
        <v>5</v>
      </c>
      <c r="E6" s="152" t="s">
        <v>40</v>
      </c>
      <c r="F6" s="152" t="s">
        <v>66</v>
      </c>
      <c r="G6" s="149" t="s">
        <v>6</v>
      </c>
      <c r="H6" s="149"/>
      <c r="I6" s="149"/>
      <c r="J6" s="150" t="s">
        <v>39</v>
      </c>
      <c r="K6" s="150" t="s">
        <v>270</v>
      </c>
      <c r="L6" s="151" t="s">
        <v>269</v>
      </c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s="1" customFormat="1" ht="31.5" customHeight="1" thickTop="1" thickBot="1" x14ac:dyDescent="0.25">
      <c r="A7" s="149"/>
      <c r="B7" s="149"/>
      <c r="C7" s="149"/>
      <c r="D7" s="149"/>
      <c r="E7" s="153"/>
      <c r="F7" s="153"/>
      <c r="G7" s="27" t="s">
        <v>7</v>
      </c>
      <c r="H7" s="28" t="s">
        <v>61</v>
      </c>
      <c r="I7" s="29" t="s">
        <v>62</v>
      </c>
      <c r="J7" s="150"/>
      <c r="K7" s="150"/>
      <c r="L7" s="26" t="s">
        <v>54</v>
      </c>
      <c r="M7" s="26" t="s">
        <v>8</v>
      </c>
      <c r="N7" s="26" t="s">
        <v>9</v>
      </c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</row>
    <row r="8" spans="1:24" s="1" customFormat="1" ht="57.75" customHeight="1" thickTop="1" thickBot="1" x14ac:dyDescent="0.25">
      <c r="A8" s="36" t="s">
        <v>41</v>
      </c>
      <c r="B8" s="37" t="s">
        <v>98</v>
      </c>
      <c r="C8" s="33" t="s">
        <v>146</v>
      </c>
      <c r="D8" s="34" t="s">
        <v>105</v>
      </c>
      <c r="E8" s="24" t="s">
        <v>53</v>
      </c>
      <c r="F8" s="41" t="s">
        <v>79</v>
      </c>
      <c r="G8" s="42" t="s">
        <v>108</v>
      </c>
      <c r="H8" s="42" t="s">
        <v>107</v>
      </c>
      <c r="I8" s="42" t="s">
        <v>106</v>
      </c>
      <c r="J8" s="25">
        <v>0.82</v>
      </c>
      <c r="K8" s="25">
        <v>0.85</v>
      </c>
      <c r="L8" s="25">
        <f>'01'!$O$19</f>
        <v>0.67440818684241988</v>
      </c>
      <c r="M8" s="25">
        <f>'01'!$C$19</f>
        <v>0.83679622368025863</v>
      </c>
      <c r="N8" s="25">
        <f>'01'!$D$19</f>
        <v>0.83347308086743099</v>
      </c>
      <c r="O8" s="25">
        <f>'01'!$E$19</f>
        <v>0.85137354595437564</v>
      </c>
      <c r="P8" s="25">
        <f>'01'!$F$19</f>
        <v>0</v>
      </c>
      <c r="Q8" s="25" t="str">
        <f>'01'!$G$19</f>
        <v>-</v>
      </c>
      <c r="R8" s="25" t="str">
        <f>'01'!$H$19</f>
        <v>-</v>
      </c>
      <c r="S8" s="25" t="str">
        <f>'01'!$I$19</f>
        <v>-</v>
      </c>
      <c r="T8" s="25" t="str">
        <f>'01'!$J$19</f>
        <v>-</v>
      </c>
      <c r="U8" s="25" t="str">
        <f>'01'!$K$19</f>
        <v>-</v>
      </c>
      <c r="V8" s="25" t="str">
        <f>'01'!$L$19</f>
        <v>-</v>
      </c>
      <c r="W8" s="25" t="str">
        <f>'01'!$M$19</f>
        <v>-</v>
      </c>
      <c r="X8" s="25">
        <f>'01'!$N$19</f>
        <v>0.83484479242864684</v>
      </c>
    </row>
    <row r="9" spans="1:24" s="1" customFormat="1" ht="49.5" customHeight="1" thickTop="1" thickBot="1" x14ac:dyDescent="0.25">
      <c r="A9" s="36" t="s">
        <v>42</v>
      </c>
      <c r="B9" s="37" t="s">
        <v>99</v>
      </c>
      <c r="C9" s="33" t="s">
        <v>147</v>
      </c>
      <c r="D9" s="34" t="s">
        <v>253</v>
      </c>
      <c r="E9" s="24" t="s">
        <v>53</v>
      </c>
      <c r="F9" s="41" t="s">
        <v>79</v>
      </c>
      <c r="G9" s="42" t="s">
        <v>110</v>
      </c>
      <c r="H9" s="42" t="s">
        <v>109</v>
      </c>
      <c r="I9" s="42" t="s">
        <v>106</v>
      </c>
      <c r="J9" s="25">
        <v>0.49</v>
      </c>
      <c r="K9" s="25">
        <v>0.6</v>
      </c>
      <c r="L9" s="25">
        <f>'02'!$O$19</f>
        <v>0.6875657206668655</v>
      </c>
      <c r="M9" s="25">
        <f>'02'!$C$19</f>
        <v>0.84860085597834101</v>
      </c>
      <c r="N9" s="25">
        <f>'02'!$D$19</f>
        <v>0.8523051296906401</v>
      </c>
      <c r="O9" s="25">
        <f>'02'!$E$19</f>
        <v>0.85415065848226679</v>
      </c>
      <c r="P9" s="25">
        <f>'02'!$F$19</f>
        <v>0</v>
      </c>
      <c r="Q9" s="25" t="str">
        <f>'02'!$G$19</f>
        <v>-</v>
      </c>
      <c r="R9" s="25" t="str">
        <f>'02'!$H$19</f>
        <v>-</v>
      </c>
      <c r="S9" s="25" t="str">
        <f>'02'!$I$19</f>
        <v>-</v>
      </c>
      <c r="T9" s="25" t="str">
        <f>'02'!$J$19</f>
        <v>-</v>
      </c>
      <c r="U9" s="25" t="str">
        <f>'02'!$K$19</f>
        <v>-</v>
      </c>
      <c r="V9" s="25" t="str">
        <f>'02'!$L$19</f>
        <v>-</v>
      </c>
      <c r="W9" s="25" t="str">
        <f>'02'!$M$19</f>
        <v>-</v>
      </c>
      <c r="X9" s="25">
        <f>'02'!$N$19</f>
        <v>0.84706474763074935</v>
      </c>
    </row>
    <row r="10" spans="1:24" s="1" customFormat="1" ht="60" customHeight="1" thickTop="1" thickBot="1" x14ac:dyDescent="0.25">
      <c r="A10" s="36" t="s">
        <v>43</v>
      </c>
      <c r="B10" s="37" t="s">
        <v>179</v>
      </c>
      <c r="C10" s="33" t="s">
        <v>148</v>
      </c>
      <c r="D10" s="34" t="s">
        <v>112</v>
      </c>
      <c r="E10" s="24" t="s">
        <v>53</v>
      </c>
      <c r="F10" s="41" t="s">
        <v>79</v>
      </c>
      <c r="G10" s="42" t="s">
        <v>128</v>
      </c>
      <c r="H10" s="42" t="s">
        <v>127</v>
      </c>
      <c r="I10" s="42" t="s">
        <v>126</v>
      </c>
      <c r="J10" s="44">
        <v>30</v>
      </c>
      <c r="K10" s="44">
        <v>20</v>
      </c>
      <c r="L10" s="44">
        <f>'03'!$O$19</f>
        <v>11.221343417194909</v>
      </c>
      <c r="M10" s="44">
        <f>'03'!$C$19</f>
        <v>5.4529356665442466</v>
      </c>
      <c r="N10" s="44">
        <f>'03'!$D$19</f>
        <v>5.6136650923435223</v>
      </c>
      <c r="O10" s="44">
        <f>'03'!$E$19</f>
        <v>5.0214221500323974</v>
      </c>
      <c r="P10" s="44">
        <f>'03'!$F$19</f>
        <v>33.472804816308184</v>
      </c>
      <c r="Q10" s="44">
        <f>'03'!$G$19</f>
        <v>0</v>
      </c>
      <c r="R10" s="44">
        <f>'03'!$H$19</f>
        <v>0</v>
      </c>
      <c r="S10" s="44">
        <f>'03'!$I$19</f>
        <v>0</v>
      </c>
      <c r="T10" s="44">
        <f>'03'!$J$19</f>
        <v>0</v>
      </c>
      <c r="U10" s="44">
        <f>'03'!$K$19</f>
        <v>0</v>
      </c>
      <c r="V10" s="44">
        <f>'03'!$L$19</f>
        <v>0</v>
      </c>
      <c r="W10" s="44">
        <f>'03'!$M$19</f>
        <v>0</v>
      </c>
      <c r="X10" s="44">
        <f>'03'!$N$19</f>
        <v>12.644022208375866</v>
      </c>
    </row>
    <row r="11" spans="1:24" s="1" customFormat="1" ht="52.5" customHeight="1" thickTop="1" thickBot="1" x14ac:dyDescent="0.25">
      <c r="A11" s="36" t="s">
        <v>44</v>
      </c>
      <c r="B11" s="37" t="s">
        <v>180</v>
      </c>
      <c r="C11" s="33" t="s">
        <v>149</v>
      </c>
      <c r="D11" s="34" t="s">
        <v>113</v>
      </c>
      <c r="E11" s="24" t="s">
        <v>53</v>
      </c>
      <c r="F11" s="41" t="s">
        <v>79</v>
      </c>
      <c r="G11" s="42" t="s">
        <v>108</v>
      </c>
      <c r="H11" s="42" t="s">
        <v>107</v>
      </c>
      <c r="I11" s="42" t="s">
        <v>106</v>
      </c>
      <c r="J11" s="25">
        <v>0.14000000000000001</v>
      </c>
      <c r="K11" s="25">
        <v>1</v>
      </c>
      <c r="L11" s="25" t="str">
        <f>'04'!$O$19</f>
        <v>-</v>
      </c>
      <c r="M11" s="25" t="str">
        <f>'04'!$C$19</f>
        <v>-</v>
      </c>
      <c r="N11" s="25" t="str">
        <f>'04'!$D$19</f>
        <v>-</v>
      </c>
      <c r="O11" s="25" t="str">
        <f>'04'!$E$19</f>
        <v>-</v>
      </c>
      <c r="P11" s="25" t="str">
        <f>'04'!$F$19</f>
        <v>-</v>
      </c>
      <c r="Q11" s="25" t="str">
        <f>'04'!$G$19</f>
        <v>-</v>
      </c>
      <c r="R11" s="25" t="str">
        <f>'04'!$H$19</f>
        <v>-</v>
      </c>
      <c r="S11" s="25" t="str">
        <f>'04'!$I$19</f>
        <v>-</v>
      </c>
      <c r="T11" s="25" t="str">
        <f>'04'!$J$19</f>
        <v>-</v>
      </c>
      <c r="U11" s="25" t="str">
        <f>'04'!$K$19</f>
        <v>-</v>
      </c>
      <c r="V11" s="25" t="str">
        <f>'04'!$L$19</f>
        <v>-</v>
      </c>
      <c r="W11" s="25" t="str">
        <f>'04'!$M$19</f>
        <v>-</v>
      </c>
      <c r="X11" s="25" t="str">
        <f>'04'!$N$19</f>
        <v>-</v>
      </c>
    </row>
    <row r="12" spans="1:24" s="1" customFormat="1" ht="60" customHeight="1" thickTop="1" thickBot="1" x14ac:dyDescent="0.25">
      <c r="A12" s="36" t="s">
        <v>45</v>
      </c>
      <c r="B12" s="37" t="s">
        <v>175</v>
      </c>
      <c r="C12" s="33" t="s">
        <v>151</v>
      </c>
      <c r="D12" s="34" t="s">
        <v>251</v>
      </c>
      <c r="E12" s="24" t="s">
        <v>53</v>
      </c>
      <c r="F12" s="41" t="s">
        <v>79</v>
      </c>
      <c r="G12" s="42" t="s">
        <v>108</v>
      </c>
      <c r="H12" s="42" t="s">
        <v>107</v>
      </c>
      <c r="I12" s="42" t="s">
        <v>106</v>
      </c>
      <c r="J12" s="25">
        <v>0.99</v>
      </c>
      <c r="K12" s="25">
        <v>1</v>
      </c>
      <c r="L12" s="25">
        <f>'05'!$O$19</f>
        <v>4.9590873328088119</v>
      </c>
      <c r="M12" s="25" t="str">
        <f>'05'!$C$19</f>
        <v>-</v>
      </c>
      <c r="N12" s="25" t="str">
        <f>'05'!$D$19</f>
        <v>-</v>
      </c>
      <c r="O12" s="25" t="str">
        <f>'05'!$E$19</f>
        <v>-</v>
      </c>
      <c r="P12" s="25" t="str">
        <f>'05'!$F$19</f>
        <v>-</v>
      </c>
      <c r="Q12" s="25" t="str">
        <f>'05'!$G$19</f>
        <v>-</v>
      </c>
      <c r="R12" s="25" t="str">
        <f>'05'!$H$19</f>
        <v>-</v>
      </c>
      <c r="S12" s="25" t="str">
        <f>'05'!$I$19</f>
        <v>-</v>
      </c>
      <c r="T12" s="25" t="str">
        <f>'05'!$J$19</f>
        <v>-</v>
      </c>
      <c r="U12" s="25" t="str">
        <f>'05'!$K$19</f>
        <v>-</v>
      </c>
      <c r="V12" s="25" t="str">
        <f>'05'!$L$19</f>
        <v>-</v>
      </c>
      <c r="W12" s="25" t="str">
        <f>'05'!$M$19</f>
        <v>-</v>
      </c>
      <c r="X12" s="25">
        <f>'05'!$N$19</f>
        <v>0.99921321793863105</v>
      </c>
    </row>
    <row r="13" spans="1:24" s="1" customFormat="1" ht="52.5" customHeight="1" thickTop="1" thickBot="1" x14ac:dyDescent="0.25">
      <c r="A13" s="36" t="s">
        <v>46</v>
      </c>
      <c r="B13" s="38" t="s">
        <v>176</v>
      </c>
      <c r="C13" s="33" t="s">
        <v>150</v>
      </c>
      <c r="D13" s="34" t="s">
        <v>252</v>
      </c>
      <c r="E13" s="24" t="s">
        <v>53</v>
      </c>
      <c r="F13" s="41" t="s">
        <v>79</v>
      </c>
      <c r="G13" s="42" t="s">
        <v>108</v>
      </c>
      <c r="H13" s="42" t="s">
        <v>107</v>
      </c>
      <c r="I13" s="42" t="s">
        <v>106</v>
      </c>
      <c r="J13" s="25">
        <v>0.92</v>
      </c>
      <c r="K13" s="25">
        <v>1</v>
      </c>
      <c r="L13" s="25">
        <f>'06'!$O$19</f>
        <v>4.5743509047993705</v>
      </c>
      <c r="M13" s="25" t="str">
        <f>'06'!$C$19</f>
        <v>-</v>
      </c>
      <c r="N13" s="25" t="str">
        <f>'06'!$D$19</f>
        <v>-</v>
      </c>
      <c r="O13" s="25" t="str">
        <f>'06'!$E$19</f>
        <v>-</v>
      </c>
      <c r="P13" s="25" t="str">
        <f>'06'!$F$19</f>
        <v>-</v>
      </c>
      <c r="Q13" s="25" t="str">
        <f>'06'!$G$19</f>
        <v>-</v>
      </c>
      <c r="R13" s="25" t="str">
        <f>'06'!$H$19</f>
        <v>-</v>
      </c>
      <c r="S13" s="25" t="str">
        <f>'06'!$I$19</f>
        <v>-</v>
      </c>
      <c r="T13" s="25" t="str">
        <f>'06'!$J$19</f>
        <v>-</v>
      </c>
      <c r="U13" s="25" t="str">
        <f>'06'!$K$19</f>
        <v>-</v>
      </c>
      <c r="V13" s="25" t="str">
        <f>'06'!$L$19</f>
        <v>-</v>
      </c>
      <c r="W13" s="25" t="str">
        <f>'06'!$M$19</f>
        <v>-</v>
      </c>
      <c r="X13" s="25">
        <f>'06'!$N$19</f>
        <v>0.92289535798583788</v>
      </c>
    </row>
    <row r="14" spans="1:24" s="1" customFormat="1" ht="48.75" customHeight="1" thickTop="1" thickBot="1" x14ac:dyDescent="0.25">
      <c r="A14" s="36" t="s">
        <v>47</v>
      </c>
      <c r="B14" s="37" t="s">
        <v>177</v>
      </c>
      <c r="C14" s="33" t="s">
        <v>152</v>
      </c>
      <c r="D14" s="34" t="s">
        <v>254</v>
      </c>
      <c r="E14" s="24" t="s">
        <v>53</v>
      </c>
      <c r="F14" s="41" t="s">
        <v>79</v>
      </c>
      <c r="G14" s="42" t="s">
        <v>108</v>
      </c>
      <c r="H14" s="42" t="s">
        <v>107</v>
      </c>
      <c r="I14" s="42" t="s">
        <v>106</v>
      </c>
      <c r="J14" s="25">
        <v>0.92</v>
      </c>
      <c r="K14" s="25">
        <v>1</v>
      </c>
      <c r="L14" s="25" t="str">
        <f>'07'!$O$19</f>
        <v>-</v>
      </c>
      <c r="M14" s="25" t="str">
        <f>'07'!$C$19</f>
        <v>-</v>
      </c>
      <c r="N14" s="25" t="str">
        <f>'07'!$D$19</f>
        <v>-</v>
      </c>
      <c r="O14" s="25" t="str">
        <f>'07'!$E$19</f>
        <v>-</v>
      </c>
      <c r="P14" s="25" t="str">
        <f>'07'!$F$19</f>
        <v>-</v>
      </c>
      <c r="Q14" s="25" t="str">
        <f>'07'!$G$19</f>
        <v>-</v>
      </c>
      <c r="R14" s="25" t="str">
        <f>'07'!$H$19</f>
        <v>-</v>
      </c>
      <c r="S14" s="25" t="str">
        <f>'07'!$I$19</f>
        <v>-</v>
      </c>
      <c r="T14" s="25" t="str">
        <f>'07'!$J$19</f>
        <v>-</v>
      </c>
      <c r="U14" s="25" t="str">
        <f>'07'!$K$19</f>
        <v>-</v>
      </c>
      <c r="V14" s="25" t="str">
        <f>'07'!$L$19</f>
        <v>-</v>
      </c>
      <c r="W14" s="25" t="str">
        <f>'07'!$M$19</f>
        <v>-</v>
      </c>
      <c r="X14" s="25" t="e">
        <f>'07'!$N$19</f>
        <v>#DIV/0!</v>
      </c>
    </row>
    <row r="15" spans="1:24" s="1" customFormat="1" ht="47.25" customHeight="1" thickTop="1" thickBot="1" x14ac:dyDescent="0.25">
      <c r="A15" s="36" t="s">
        <v>48</v>
      </c>
      <c r="B15" s="37" t="s">
        <v>100</v>
      </c>
      <c r="C15" s="33" t="s">
        <v>154</v>
      </c>
      <c r="D15" s="34" t="s">
        <v>255</v>
      </c>
      <c r="E15" s="24" t="s">
        <v>53</v>
      </c>
      <c r="F15" s="41" t="s">
        <v>79</v>
      </c>
      <c r="G15" s="42" t="s">
        <v>108</v>
      </c>
      <c r="H15" s="42" t="s">
        <v>107</v>
      </c>
      <c r="I15" s="42" t="s">
        <v>106</v>
      </c>
      <c r="J15" s="25">
        <v>0.93</v>
      </c>
      <c r="K15" s="25">
        <v>0.95</v>
      </c>
      <c r="L15" s="25" t="e">
        <f>'08'!$O$19</f>
        <v>#REF!</v>
      </c>
      <c r="M15" s="25">
        <f>'08'!$C$19</f>
        <v>0.98562300319488816</v>
      </c>
      <c r="N15" s="25">
        <f>'08'!$D$19</f>
        <v>0.99044585987261147</v>
      </c>
      <c r="O15" s="25">
        <f>'08'!$E$19</f>
        <v>0.9912698412698413</v>
      </c>
      <c r="P15" s="25">
        <f>'08'!$F$19</f>
        <v>0.98735177865612644</v>
      </c>
      <c r="Q15" s="25" t="str">
        <f>'08'!$G$19</f>
        <v>-</v>
      </c>
      <c r="R15" s="25" t="str">
        <f>'08'!$H$19</f>
        <v>-</v>
      </c>
      <c r="S15" s="25" t="str">
        <f>'08'!$I$19</f>
        <v>-</v>
      </c>
      <c r="T15" s="25" t="str">
        <f>'08'!$J$19</f>
        <v>-</v>
      </c>
      <c r="U15" s="25" t="str">
        <f>'08'!$K$19</f>
        <v>-</v>
      </c>
      <c r="V15" s="25" t="str">
        <f>'08'!$L$19</f>
        <v>-</v>
      </c>
      <c r="W15" s="25" t="str">
        <f>'08'!$M$19</f>
        <v>-</v>
      </c>
      <c r="X15" s="25">
        <f>'08'!$N$19</f>
        <v>0</v>
      </c>
    </row>
    <row r="16" spans="1:24" ht="49.5" customHeight="1" thickTop="1" thickBot="1" x14ac:dyDescent="0.3">
      <c r="A16" s="36" t="s">
        <v>49</v>
      </c>
      <c r="B16" s="37" t="s">
        <v>101</v>
      </c>
      <c r="C16" s="33" t="s">
        <v>159</v>
      </c>
      <c r="D16" s="34" t="s">
        <v>114</v>
      </c>
      <c r="E16" s="24" t="s">
        <v>53</v>
      </c>
      <c r="F16" s="41" t="s">
        <v>79</v>
      </c>
      <c r="G16" s="42" t="s">
        <v>117</v>
      </c>
      <c r="H16" s="42" t="s">
        <v>116</v>
      </c>
      <c r="I16" s="42" t="s">
        <v>115</v>
      </c>
      <c r="J16" s="25">
        <v>0.05</v>
      </c>
      <c r="K16" s="25">
        <v>0.05</v>
      </c>
      <c r="L16" s="25">
        <f>'09'!$O$19</f>
        <v>0</v>
      </c>
      <c r="M16" s="25" t="str">
        <f>'09'!$C$19</f>
        <v>-</v>
      </c>
      <c r="N16" s="25" t="str">
        <f>'09'!$D$19</f>
        <v>-</v>
      </c>
      <c r="O16" s="25" t="str">
        <f>'09'!$E$19</f>
        <v>-</v>
      </c>
      <c r="P16" s="25" t="str">
        <f>'09'!$F$19</f>
        <v>-</v>
      </c>
      <c r="Q16" s="25" t="str">
        <f>'09'!$G$19</f>
        <v>-</v>
      </c>
      <c r="R16" s="25" t="str">
        <f>'09'!$H$19</f>
        <v>-</v>
      </c>
      <c r="S16" s="25" t="str">
        <f>'09'!$I$19</f>
        <v>-</v>
      </c>
      <c r="T16" s="25" t="str">
        <f>'09'!$J$19</f>
        <v>-</v>
      </c>
      <c r="U16" s="25" t="str">
        <f>'09'!$K$19</f>
        <v>-</v>
      </c>
      <c r="V16" s="25" t="str">
        <f>'09'!$L$19</f>
        <v>-</v>
      </c>
      <c r="W16" s="25" t="str">
        <f>'09'!$M$19</f>
        <v>-</v>
      </c>
      <c r="X16" s="25" t="str">
        <f>'09'!$N$19</f>
        <v>-</v>
      </c>
    </row>
    <row r="17" spans="1:26" ht="48.75" customHeight="1" thickTop="1" thickBot="1" x14ac:dyDescent="0.3">
      <c r="A17" s="36" t="s">
        <v>94</v>
      </c>
      <c r="B17" s="37" t="s">
        <v>102</v>
      </c>
      <c r="C17" s="33" t="s">
        <v>153</v>
      </c>
      <c r="D17" s="34" t="s">
        <v>118</v>
      </c>
      <c r="E17" s="24" t="s">
        <v>53</v>
      </c>
      <c r="F17" s="41" t="s">
        <v>79</v>
      </c>
      <c r="G17" s="42" t="s">
        <v>121</v>
      </c>
      <c r="H17" s="42" t="s">
        <v>120</v>
      </c>
      <c r="I17" s="42" t="s">
        <v>119</v>
      </c>
      <c r="J17" s="25">
        <v>0.46</v>
      </c>
      <c r="K17" s="25">
        <v>0.3</v>
      </c>
      <c r="L17" s="25">
        <f>'10'!$O$19</f>
        <v>-4.1541159016319738E-2</v>
      </c>
      <c r="M17" s="25">
        <f>'10'!$C$19</f>
        <v>0.28140411952422395</v>
      </c>
      <c r="N17" s="25">
        <f>'10'!$D$19</f>
        <v>-9.923339011925042E-2</v>
      </c>
      <c r="O17" s="25">
        <f>'10'!$E$19</f>
        <v>0.17486203261610964</v>
      </c>
      <c r="P17" s="25" t="e">
        <f>'10'!$F$19</f>
        <v>#DIV/0!</v>
      </c>
      <c r="Q17" s="25" t="str">
        <f>'10'!$G$19</f>
        <v>-</v>
      </c>
      <c r="R17" s="25" t="str">
        <f>'10'!$H$19</f>
        <v>-</v>
      </c>
      <c r="S17" s="25" t="str">
        <f>'10'!$I$19</f>
        <v>-</v>
      </c>
      <c r="T17" s="25" t="str">
        <f>'10'!$J$19</f>
        <v>-</v>
      </c>
      <c r="U17" s="25" t="str">
        <f>'10'!$K$19</f>
        <v>-</v>
      </c>
      <c r="V17" s="25" t="str">
        <f>'10'!$L$19</f>
        <v>-</v>
      </c>
      <c r="W17" s="25" t="str">
        <f>'10'!$M$19</f>
        <v>-</v>
      </c>
      <c r="X17" s="25">
        <f>'10'!$N$19</f>
        <v>0.27547102947256513</v>
      </c>
    </row>
    <row r="18" spans="1:26" ht="47.25" customHeight="1" thickTop="1" thickBot="1" x14ac:dyDescent="0.3">
      <c r="A18" s="36" t="s">
        <v>95</v>
      </c>
      <c r="B18" s="37" t="s">
        <v>178</v>
      </c>
      <c r="C18" s="33" t="s">
        <v>155</v>
      </c>
      <c r="D18" s="34" t="s">
        <v>168</v>
      </c>
      <c r="E18" s="24" t="s">
        <v>53</v>
      </c>
      <c r="F18" s="41" t="s">
        <v>79</v>
      </c>
      <c r="G18" s="42" t="s">
        <v>108</v>
      </c>
      <c r="H18" s="42" t="s">
        <v>107</v>
      </c>
      <c r="I18" s="42" t="s">
        <v>106</v>
      </c>
      <c r="J18" s="25">
        <v>0.98</v>
      </c>
      <c r="K18" s="25">
        <v>0.99</v>
      </c>
      <c r="L18" s="25">
        <f>'11'!$O$19</f>
        <v>1</v>
      </c>
      <c r="M18" s="25">
        <f>'11'!$C$19</f>
        <v>1</v>
      </c>
      <c r="N18" s="25">
        <f>'11'!$D$19</f>
        <v>1</v>
      </c>
      <c r="O18" s="25">
        <f>'11'!$E$19</f>
        <v>1</v>
      </c>
      <c r="P18" s="25">
        <f>'11'!$F$19</f>
        <v>1</v>
      </c>
      <c r="Q18" s="25">
        <f>'11'!$G$19</f>
        <v>1</v>
      </c>
      <c r="R18" s="25">
        <f>'11'!$H$19</f>
        <v>1</v>
      </c>
      <c r="S18" s="25">
        <f>'11'!$I$19</f>
        <v>1</v>
      </c>
      <c r="T18" s="25">
        <f>'11'!$J$19</f>
        <v>1</v>
      </c>
      <c r="U18" s="25">
        <f>'11'!$K$19</f>
        <v>1</v>
      </c>
      <c r="V18" s="25">
        <f>'11'!$L$19</f>
        <v>1</v>
      </c>
      <c r="W18" s="25">
        <f>'11'!$M$19</f>
        <v>1</v>
      </c>
      <c r="X18" s="25">
        <f>'11'!$N$19</f>
        <v>1</v>
      </c>
      <c r="Y18" s="48"/>
    </row>
    <row r="19" spans="1:26" ht="48.75" customHeight="1" thickTop="1" thickBot="1" x14ac:dyDescent="0.3">
      <c r="A19" s="36" t="s">
        <v>96</v>
      </c>
      <c r="B19" s="37" t="s">
        <v>103</v>
      </c>
      <c r="C19" s="33" t="s">
        <v>156</v>
      </c>
      <c r="D19" s="34" t="s">
        <v>122</v>
      </c>
      <c r="E19" s="24" t="s">
        <v>65</v>
      </c>
      <c r="F19" s="41" t="s">
        <v>79</v>
      </c>
      <c r="G19" s="42" t="s">
        <v>125</v>
      </c>
      <c r="H19" s="42" t="s">
        <v>124</v>
      </c>
      <c r="I19" s="42" t="s">
        <v>123</v>
      </c>
      <c r="J19" s="25">
        <v>0.98</v>
      </c>
      <c r="K19" s="25">
        <v>1</v>
      </c>
      <c r="L19" s="25" t="str">
        <f>'12'!$O$19</f>
        <v>-</v>
      </c>
      <c r="M19" s="25" t="str">
        <f>'12'!$C$19</f>
        <v>-</v>
      </c>
      <c r="N19" s="25" t="str">
        <f>'12'!$D$19</f>
        <v>-</v>
      </c>
      <c r="O19" s="25" t="str">
        <f>'12'!$E$19</f>
        <v>-</v>
      </c>
      <c r="P19" s="25" t="str">
        <f>'12'!$F$19</f>
        <v>-</v>
      </c>
      <c r="Q19" s="25" t="str">
        <f>'12'!$G$19</f>
        <v>-</v>
      </c>
      <c r="R19" s="25" t="str">
        <f>'12'!$H$19</f>
        <v>-</v>
      </c>
      <c r="S19" s="25" t="str">
        <f>'12'!$I$19</f>
        <v>-</v>
      </c>
      <c r="T19" s="25" t="str">
        <f>'12'!$J$19</f>
        <v>-</v>
      </c>
      <c r="U19" s="25" t="str">
        <f>'12'!$K$19</f>
        <v>-</v>
      </c>
      <c r="V19" s="25" t="str">
        <f>'12'!$L$19</f>
        <v>-</v>
      </c>
      <c r="W19" s="25" t="str">
        <f>'12'!$M$19</f>
        <v>-</v>
      </c>
      <c r="X19" s="25" t="str">
        <f>'12'!$N$19</f>
        <v>-</v>
      </c>
    </row>
    <row r="20" spans="1:26" ht="48.75" customHeight="1" thickTop="1" thickBot="1" x14ac:dyDescent="0.3">
      <c r="A20" s="36" t="s">
        <v>97</v>
      </c>
      <c r="B20" s="37" t="s">
        <v>160</v>
      </c>
      <c r="C20" s="33" t="s">
        <v>161</v>
      </c>
      <c r="D20" s="34" t="s">
        <v>256</v>
      </c>
      <c r="E20" s="24" t="s">
        <v>53</v>
      </c>
      <c r="F20" s="41" t="s">
        <v>79</v>
      </c>
      <c r="G20" s="42" t="s">
        <v>162</v>
      </c>
      <c r="H20" s="42" t="s">
        <v>163</v>
      </c>
      <c r="I20" s="42" t="s">
        <v>164</v>
      </c>
      <c r="J20" s="25" t="s">
        <v>263</v>
      </c>
      <c r="K20" s="25" t="s">
        <v>264</v>
      </c>
      <c r="L20" s="25">
        <f>'13'!$O$19</f>
        <v>5.1599587203302369E-4</v>
      </c>
      <c r="M20" s="25">
        <f>'13'!$C$19</f>
        <v>0</v>
      </c>
      <c r="N20" s="25">
        <f>'13'!$D$19</f>
        <v>2.5906735751295338E-3</v>
      </c>
      <c r="O20" s="25">
        <f>'13'!$E$19</f>
        <v>0</v>
      </c>
      <c r="P20" s="25">
        <f>'13'!$F$19</f>
        <v>0</v>
      </c>
      <c r="Q20" s="25" t="str">
        <f>'13'!$G$19</f>
        <v>-</v>
      </c>
      <c r="R20" s="25" t="str">
        <f>'13'!$H$19</f>
        <v>-</v>
      </c>
      <c r="S20" s="25" t="str">
        <f>'13'!$I$19</f>
        <v>-</v>
      </c>
      <c r="T20" s="25" t="str">
        <f>'13'!$J$19</f>
        <v>-</v>
      </c>
      <c r="U20" s="25" t="str">
        <f>'13'!$K$19</f>
        <v>-</v>
      </c>
      <c r="V20" s="25" t="str">
        <f>'13'!$L$19</f>
        <v>-</v>
      </c>
      <c r="W20" s="25" t="str">
        <f>'13'!$M$19</f>
        <v>-</v>
      </c>
      <c r="X20" s="25">
        <f>'13'!$N$19</f>
        <v>0</v>
      </c>
    </row>
    <row r="21" spans="1:26" ht="49.5" customHeight="1" thickTop="1" thickBot="1" x14ac:dyDescent="0.3">
      <c r="A21" s="36" t="s">
        <v>158</v>
      </c>
      <c r="B21" s="37" t="s">
        <v>104</v>
      </c>
      <c r="C21" s="33" t="s">
        <v>157</v>
      </c>
      <c r="D21" s="34" t="s">
        <v>145</v>
      </c>
      <c r="E21" s="24" t="s">
        <v>53</v>
      </c>
      <c r="F21" s="41" t="s">
        <v>79</v>
      </c>
      <c r="G21" s="42" t="s">
        <v>125</v>
      </c>
      <c r="H21" s="42" t="s">
        <v>124</v>
      </c>
      <c r="I21" s="42" t="s">
        <v>123</v>
      </c>
      <c r="J21" s="25">
        <v>0.98</v>
      </c>
      <c r="K21" s="25">
        <v>1</v>
      </c>
      <c r="L21" s="25" t="str">
        <f>'14'!$O$19</f>
        <v>-</v>
      </c>
      <c r="M21" s="25" t="str">
        <f>'14'!$C$19</f>
        <v>-</v>
      </c>
      <c r="N21" s="25" t="str">
        <f>'14'!$D$19</f>
        <v>-</v>
      </c>
      <c r="O21" s="25" t="str">
        <f>'14'!$E$19</f>
        <v>-</v>
      </c>
      <c r="P21" s="25" t="str">
        <f>'14'!$F$19</f>
        <v>-</v>
      </c>
      <c r="Q21" s="25" t="str">
        <f>'14'!$G$19</f>
        <v>-</v>
      </c>
      <c r="R21" s="25" t="str">
        <f>'14'!$H$19</f>
        <v>-</v>
      </c>
      <c r="S21" s="25" t="str">
        <f>'14'!$I$19</f>
        <v>-</v>
      </c>
      <c r="T21" s="25" t="str">
        <f>'14'!$J$19</f>
        <v>-</v>
      </c>
      <c r="U21" s="25" t="str">
        <f>'14'!$K$19</f>
        <v>-</v>
      </c>
      <c r="V21" s="25" t="str">
        <f>'14'!$L$19</f>
        <v>-</v>
      </c>
      <c r="W21" s="25" t="str">
        <f>'14'!$M$19</f>
        <v>-</v>
      </c>
      <c r="X21" s="25" t="e">
        <f>'14'!$N$19</f>
        <v>#DIV/0!</v>
      </c>
    </row>
    <row r="22" spans="1:26" ht="6.75" customHeight="1" thickTop="1" x14ac:dyDescent="0.25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</row>
    <row r="24" spans="1:26" x14ac:dyDescent="0.25">
      <c r="Z24" s="40" t="s">
        <v>67</v>
      </c>
    </row>
    <row r="25" spans="1:26" x14ac:dyDescent="0.25">
      <c r="Z25" s="40" t="s">
        <v>68</v>
      </c>
    </row>
    <row r="26" spans="1:26" x14ac:dyDescent="0.25">
      <c r="Z26" s="40" t="s">
        <v>69</v>
      </c>
    </row>
    <row r="27" spans="1:26" x14ac:dyDescent="0.25">
      <c r="Z27" s="40" t="s">
        <v>70</v>
      </c>
    </row>
    <row r="28" spans="1:26" x14ac:dyDescent="0.25">
      <c r="Z28" s="40" t="s">
        <v>71</v>
      </c>
    </row>
    <row r="29" spans="1:26" x14ac:dyDescent="0.25">
      <c r="Z29" s="40" t="s">
        <v>72</v>
      </c>
    </row>
    <row r="30" spans="1:26" x14ac:dyDescent="0.25">
      <c r="Z30" s="40" t="s">
        <v>73</v>
      </c>
    </row>
    <row r="31" spans="1:26" x14ac:dyDescent="0.25">
      <c r="Z31" s="40" t="s">
        <v>74</v>
      </c>
    </row>
    <row r="32" spans="1:26" x14ac:dyDescent="0.25">
      <c r="Z32" s="40" t="s">
        <v>169</v>
      </c>
    </row>
    <row r="33" spans="26:26" x14ac:dyDescent="0.25">
      <c r="Z33" s="40" t="s">
        <v>75</v>
      </c>
    </row>
    <row r="34" spans="26:26" x14ac:dyDescent="0.25">
      <c r="Z34" s="40" t="s">
        <v>76</v>
      </c>
    </row>
    <row r="35" spans="26:26" x14ac:dyDescent="0.25">
      <c r="Z35" s="40" t="s">
        <v>77</v>
      </c>
    </row>
    <row r="36" spans="26:26" x14ac:dyDescent="0.25">
      <c r="Z36" s="40" t="s">
        <v>78</v>
      </c>
    </row>
    <row r="38" spans="26:26" x14ac:dyDescent="0.25">
      <c r="Z38" s="40" t="s">
        <v>79</v>
      </c>
    </row>
    <row r="39" spans="26:26" x14ac:dyDescent="0.25">
      <c r="Z39" s="40" t="s">
        <v>56</v>
      </c>
    </row>
    <row r="40" spans="26:26" x14ac:dyDescent="0.25">
      <c r="Z40" s="40" t="s">
        <v>57</v>
      </c>
    </row>
    <row r="42" spans="26:26" x14ac:dyDescent="0.25">
      <c r="Z42" s="39" t="s">
        <v>4</v>
      </c>
    </row>
    <row r="43" spans="26:26" x14ac:dyDescent="0.25">
      <c r="Z43" s="39" t="s">
        <v>63</v>
      </c>
    </row>
    <row r="44" spans="26:26" x14ac:dyDescent="0.25">
      <c r="Z44" s="39" t="s">
        <v>53</v>
      </c>
    </row>
    <row r="45" spans="26:26" x14ac:dyDescent="0.25">
      <c r="Z45" s="39" t="s">
        <v>64</v>
      </c>
    </row>
    <row r="46" spans="26:26" x14ac:dyDescent="0.25">
      <c r="Z46" s="39" t="s">
        <v>65</v>
      </c>
    </row>
    <row r="47" spans="26:26" x14ac:dyDescent="0.25">
      <c r="Z47" s="39" t="s">
        <v>52</v>
      </c>
    </row>
  </sheetData>
  <sheetProtection algorithmName="SHA-512" hashValue="epKHelRssAnVHgVEed14xQZBUy2sZPraKAiAWzSJgCbB3RBsFxly+YAN7rjwkKzCEYwUQyLDQdNjFf8ZJQ23ZA==" saltValue="9xvkMQybIfZu3S14ihoA0w==" spinCount="100000" sheet="1" objects="1" scenarios="1"/>
  <mergeCells count="17">
    <mergeCell ref="A22:X22"/>
    <mergeCell ref="D1:X1"/>
    <mergeCell ref="D4:X4"/>
    <mergeCell ref="A1:C4"/>
    <mergeCell ref="A6:B7"/>
    <mergeCell ref="J6:J7"/>
    <mergeCell ref="K6:K7"/>
    <mergeCell ref="L6:X6"/>
    <mergeCell ref="C6:C7"/>
    <mergeCell ref="D6:D7"/>
    <mergeCell ref="E6:E7"/>
    <mergeCell ref="G6:I6"/>
    <mergeCell ref="A5:I5"/>
    <mergeCell ref="J5:X5"/>
    <mergeCell ref="F6:F7"/>
    <mergeCell ref="D2:X2"/>
    <mergeCell ref="D3:X3"/>
  </mergeCells>
  <conditionalFormatting sqref="L8:X8">
    <cfRule type="cellIs" dxfId="26" priority="1" operator="between">
      <formula>0.8</formula>
      <formula>1000000</formula>
    </cfRule>
    <cfRule type="cellIs" dxfId="25" priority="2" operator="between">
      <formula>0.59</formula>
      <formula>0.7999</formula>
    </cfRule>
    <cfRule type="cellIs" dxfId="24" priority="3" operator="lessThan">
      <formula>0.59</formula>
    </cfRule>
  </conditionalFormatting>
  <conditionalFormatting sqref="L9:X9">
    <cfRule type="cellIs" dxfId="23" priority="28" operator="between">
      <formula>0.71</formula>
      <formula>100000</formula>
    </cfRule>
    <cfRule type="cellIs" dxfId="22" priority="29" operator="between">
      <formula>0.6</formula>
      <formula>0.709</formula>
    </cfRule>
    <cfRule type="cellIs" dxfId="21" priority="30" operator="between">
      <formula>0</formula>
      <formula>0.599</formula>
    </cfRule>
  </conditionalFormatting>
  <conditionalFormatting sqref="L10:X10">
    <cfRule type="cellIs" dxfId="20" priority="25" operator="between">
      <formula>45</formula>
      <formula>1000000000</formula>
    </cfRule>
    <cfRule type="cellIs" dxfId="19" priority="26" operator="between">
      <formula>31</formula>
      <formula>44.9</formula>
    </cfRule>
    <cfRule type="cellIs" dxfId="18" priority="27" operator="between">
      <formula>0</formula>
      <formula>30.9</formula>
    </cfRule>
  </conditionalFormatting>
  <conditionalFormatting sqref="L11:X15">
    <cfRule type="cellIs" dxfId="17" priority="22" operator="between">
      <formula>0.8</formula>
      <formula>10000000</formula>
    </cfRule>
    <cfRule type="cellIs" dxfId="16" priority="23" operator="between">
      <formula>0.6</formula>
      <formula>0.799</formula>
    </cfRule>
    <cfRule type="cellIs" dxfId="15" priority="24" operator="between">
      <formula>0</formula>
      <formula>0.599</formula>
    </cfRule>
  </conditionalFormatting>
  <conditionalFormatting sqref="L16:X16">
    <cfRule type="cellIs" dxfId="14" priority="19" operator="between">
      <formula>0.081</formula>
      <formula>100000000</formula>
    </cfRule>
    <cfRule type="cellIs" dxfId="13" priority="20" operator="between">
      <formula>0.05</formula>
      <formula>0.08</formula>
    </cfRule>
    <cfRule type="cellIs" dxfId="12" priority="21" operator="between">
      <formula>0</formula>
      <formula>0.049</formula>
    </cfRule>
  </conditionalFormatting>
  <conditionalFormatting sqref="L17:X17">
    <cfRule type="cellIs" dxfId="11" priority="16" operator="between">
      <formula>0.501</formula>
      <formula>1000000</formula>
    </cfRule>
    <cfRule type="cellIs" dxfId="10" priority="17" operator="between">
      <formula>0.3</formula>
      <formula>0.5</formula>
    </cfRule>
    <cfRule type="cellIs" dxfId="9" priority="18" operator="between">
      <formula>0</formula>
      <formula>0.299</formula>
    </cfRule>
  </conditionalFormatting>
  <conditionalFormatting sqref="L18:X18">
    <cfRule type="cellIs" dxfId="8" priority="13" operator="between">
      <formula>0.8</formula>
      <formula>1000000</formula>
    </cfRule>
    <cfRule type="cellIs" dxfId="7" priority="14" operator="between">
      <formula>0.6</formula>
      <formula>0.799</formula>
    </cfRule>
    <cfRule type="cellIs" dxfId="6" priority="15" operator="between">
      <formula>0</formula>
      <formula>0.599</formula>
    </cfRule>
  </conditionalFormatting>
  <conditionalFormatting sqref="L19:X19 L21:X21">
    <cfRule type="cellIs" dxfId="5" priority="10" operator="between">
      <formula>0.91</formula>
      <formula>10000000</formula>
    </cfRule>
    <cfRule type="cellIs" dxfId="4" priority="11" operator="between">
      <formula>0.71</formula>
      <formula>0.909</formula>
    </cfRule>
    <cfRule type="cellIs" dxfId="3" priority="12" operator="between">
      <formula>0</formula>
      <formula>0.709</formula>
    </cfRule>
  </conditionalFormatting>
  <conditionalFormatting sqref="L20:X20">
    <cfRule type="cellIs" dxfId="2" priority="4" operator="between">
      <formula>0.201</formula>
      <formula>1000000</formula>
    </cfRule>
    <cfRule type="cellIs" dxfId="1" priority="5" operator="between">
      <formula>0.101</formula>
      <formula>0.2</formula>
    </cfRule>
    <cfRule type="cellIs" dxfId="0" priority="6" operator="between">
      <formula>0</formula>
      <formula>0.1</formula>
    </cfRule>
  </conditionalFormatting>
  <dataValidations count="3">
    <dataValidation type="list" allowBlank="1" showInputMessage="1" showErrorMessage="1" sqref="E8:E21" xr:uid="{00000000-0002-0000-0000-000000000000}">
      <formula1>$Z$42:$Z$47</formula1>
    </dataValidation>
    <dataValidation type="list" allowBlank="1" showInputMessage="1" showErrorMessage="1" sqref="J5:X5" xr:uid="{00000000-0002-0000-0000-000001000000}">
      <formula1>$Z$24:$Z$36</formula1>
    </dataValidation>
    <dataValidation type="list" allowBlank="1" showInputMessage="1" showErrorMessage="1" sqref="F8:F21" xr:uid="{00000000-0002-0000-0000-000002000000}">
      <formula1>$Z$38:$Z$40</formula1>
    </dataValidation>
  </dataValidations>
  <pageMargins left="0.27559055118110237" right="0.27559055118110237" top="0.19685039370078741" bottom="0.19685039370078741" header="0.31496062992125984" footer="0.11811023622047245"/>
  <pageSetup scale="75" orientation="landscape" horizontalDpi="4294967294" verticalDpi="4294967294" r:id="rId1"/>
  <headerFooter>
    <oddFooter>&amp;R&amp;8Diseñado por: Wilson Andrade González</oddFooter>
  </headerFooter>
  <drawing r:id="rId2"/>
  <legacyDrawing r:id="rId3"/>
  <oleObjects>
    <mc:AlternateContent xmlns:mc="http://schemas.openxmlformats.org/markup-compatibility/2006">
      <mc:Choice Requires="x14">
        <oleObject progId="PBrush" shapeId="1027" r:id="rId4">
          <objectPr defaultSize="0" autoPict="0" r:id="rId5">
            <anchor moveWithCells="1" sizeWithCells="1">
              <from>
                <xdr:col>1</xdr:col>
                <xdr:colOff>561975</xdr:colOff>
                <xdr:row>0</xdr:row>
                <xdr:rowOff>57150</xdr:rowOff>
              </from>
              <to>
                <xdr:col>2</xdr:col>
                <xdr:colOff>714375</xdr:colOff>
                <xdr:row>3</xdr:row>
                <xdr:rowOff>85725</xdr:rowOff>
              </to>
            </anchor>
          </objectPr>
        </oleObject>
      </mc:Choice>
      <mc:Fallback>
        <oleObject progId="PBrush" shapeId="1027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X61"/>
  <sheetViews>
    <sheetView topLeftCell="A10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3" width="7.7109375" style="2" customWidth="1"/>
    <col min="14" max="14" width="7.85546875" style="2" customWidth="1"/>
    <col min="15" max="15" width="7.7109375" style="2" customWidth="1"/>
    <col min="16" max="16" width="6.140625" style="2" customWidth="1"/>
    <col min="17" max="18" width="6.140625" style="2" hidden="1" customWidth="1"/>
    <col min="19" max="19" width="6.140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2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2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Sta.Mría'!$B16</f>
        <v>Calidad del Agua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Sta.Mría'!F16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Sta.Mría'!A16</f>
        <v>IN09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36" customHeight="1" thickBot="1" x14ac:dyDescent="0.3">
      <c r="A11" s="212" t="str">
        <f>'SET SP Sta.Mría'!$C16</f>
        <v>Monitorear la calidad de agua suministrada a los usuarios por parte de Aguas de Huila.</v>
      </c>
      <c r="B11" s="213"/>
      <c r="C11" s="213"/>
      <c r="D11" s="213"/>
      <c r="E11" s="14" t="s">
        <v>35</v>
      </c>
      <c r="F11" s="279" t="str">
        <f>'SET SP Sta.Mría'!$D16</f>
        <v xml:space="preserve">Medición de acuerdo al IRCA          </v>
      </c>
      <c r="G11" s="281"/>
      <c r="H11" s="12">
        <f>$O18</f>
        <v>0.05</v>
      </c>
      <c r="I11" s="13" t="str">
        <f>'SET SP Sta.Mría'!$E16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1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28" t="s">
        <v>31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30"/>
      <c r="V14" s="7"/>
      <c r="W14" s="6"/>
      <c r="X14" s="6"/>
    </row>
    <row r="15" spans="1:24" ht="16.5" customHeight="1" x14ac:dyDescent="0.25">
      <c r="A15" s="231" t="str">
        <f>+'08'!A15:O15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55">
        <f t="shared" ref="C17:N17" si="0">$O$17</f>
        <v>0.05</v>
      </c>
      <c r="D17" s="55">
        <f t="shared" si="0"/>
        <v>0.05</v>
      </c>
      <c r="E17" s="55">
        <f t="shared" si="0"/>
        <v>0.05</v>
      </c>
      <c r="F17" s="55">
        <f t="shared" si="0"/>
        <v>0.05</v>
      </c>
      <c r="G17" s="55">
        <f t="shared" si="0"/>
        <v>0.05</v>
      </c>
      <c r="H17" s="55">
        <f t="shared" si="0"/>
        <v>0.05</v>
      </c>
      <c r="I17" s="55">
        <f t="shared" si="0"/>
        <v>0.05</v>
      </c>
      <c r="J17" s="55">
        <f t="shared" si="0"/>
        <v>0.05</v>
      </c>
      <c r="K17" s="55">
        <f t="shared" si="0"/>
        <v>0.05</v>
      </c>
      <c r="L17" s="55">
        <f t="shared" si="0"/>
        <v>0.05</v>
      </c>
      <c r="M17" s="55">
        <f t="shared" si="0"/>
        <v>0.05</v>
      </c>
      <c r="N17" s="55">
        <f t="shared" si="0"/>
        <v>0.05</v>
      </c>
      <c r="O17" s="90">
        <f>'SET SP Sta.Mría'!J16</f>
        <v>0.05</v>
      </c>
      <c r="V17" s="7"/>
      <c r="W17" s="8"/>
      <c r="X17" s="8"/>
    </row>
    <row r="18" spans="1:24" ht="17.25" customHeight="1" x14ac:dyDescent="0.25">
      <c r="A18" s="242" t="str">
        <f>+'08'!A18:B18</f>
        <v>META  AÑO 2025</v>
      </c>
      <c r="B18" s="243"/>
      <c r="C18" s="55">
        <f t="shared" ref="C18:N18" si="1">$O$18</f>
        <v>0.05</v>
      </c>
      <c r="D18" s="55">
        <f t="shared" si="1"/>
        <v>0.05</v>
      </c>
      <c r="E18" s="55">
        <f t="shared" si="1"/>
        <v>0.05</v>
      </c>
      <c r="F18" s="55">
        <f t="shared" si="1"/>
        <v>0.05</v>
      </c>
      <c r="G18" s="55">
        <f t="shared" si="1"/>
        <v>0.05</v>
      </c>
      <c r="H18" s="55">
        <f t="shared" si="1"/>
        <v>0.05</v>
      </c>
      <c r="I18" s="55">
        <f t="shared" si="1"/>
        <v>0.05</v>
      </c>
      <c r="J18" s="55">
        <f t="shared" si="1"/>
        <v>0.05</v>
      </c>
      <c r="K18" s="55">
        <f t="shared" si="1"/>
        <v>0.05</v>
      </c>
      <c r="L18" s="55">
        <f t="shared" si="1"/>
        <v>0.05</v>
      </c>
      <c r="M18" s="55">
        <f t="shared" si="1"/>
        <v>0.05</v>
      </c>
      <c r="N18" s="55">
        <f t="shared" si="1"/>
        <v>0.05</v>
      </c>
      <c r="O18" s="90">
        <f>'SET SP Sta.Mría'!K16</f>
        <v>0.05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 t="str">
        <f>IF((C20),C20,"-")</f>
        <v>-</v>
      </c>
      <c r="D19" s="10" t="str">
        <f>IF((D20),D20,"-")</f>
        <v>-</v>
      </c>
      <c r="E19" s="10" t="str">
        <f t="shared" ref="E19:N19" si="2">IF((E20),E20,"-")</f>
        <v>-</v>
      </c>
      <c r="F19" s="10" t="str">
        <f t="shared" si="2"/>
        <v>-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str">
        <f t="shared" si="2"/>
        <v>-</v>
      </c>
      <c r="O19" s="11">
        <f>IF(ISNUMBER(O20),O20,"-")</f>
        <v>0</v>
      </c>
      <c r="V19" s="7"/>
      <c r="W19" s="8"/>
      <c r="X19" s="8"/>
    </row>
    <row r="20" spans="1:24" ht="23.25" customHeight="1" x14ac:dyDescent="0.25">
      <c r="A20" s="248" t="s">
        <v>37</v>
      </c>
      <c r="B20" s="31" t="s">
        <v>140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5"/>
      <c r="I20" s="55"/>
      <c r="J20" s="55"/>
      <c r="K20" s="55"/>
      <c r="L20" s="55"/>
      <c r="M20" s="55"/>
      <c r="N20" s="55"/>
      <c r="O20" s="54">
        <f>AVERAGE(C20:N20)</f>
        <v>0</v>
      </c>
      <c r="V20" s="7"/>
      <c r="W20" s="8"/>
      <c r="X20" s="8"/>
    </row>
    <row r="21" spans="1:24" ht="21" customHeight="1" x14ac:dyDescent="0.25">
      <c r="A21" s="248"/>
      <c r="B21" s="7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7.25" customHeight="1" x14ac:dyDescent="0.25">
      <c r="A22" s="248"/>
      <c r="B22" s="7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49"/>
      <c r="B23" s="75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50" t="s">
        <v>34</v>
      </c>
      <c r="B24" s="251"/>
      <c r="C24" s="252"/>
      <c r="D24" s="239" t="str">
        <f>'SET SP Sta.Mría'!$G16</f>
        <v>Menor al 5%</v>
      </c>
      <c r="E24" s="240"/>
      <c r="F24" s="240"/>
      <c r="G24" s="241"/>
      <c r="H24" s="239" t="str">
        <f>'SET SP Sta.Mría'!$H16</f>
        <v>Entre el 5% y el 8%</v>
      </c>
      <c r="I24" s="240"/>
      <c r="J24" s="240"/>
      <c r="K24" s="241"/>
      <c r="L24" s="239" t="str">
        <f>'SET SP Sta.Mría'!$I16</f>
        <v>Mayor al 8%</v>
      </c>
      <c r="M24" s="244"/>
      <c r="N24" s="244"/>
      <c r="O24" s="245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64.75" customHeight="1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8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5" customHeight="1" x14ac:dyDescent="0.25">
      <c r="A29" s="165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5" customHeight="1" x14ac:dyDescent="0.2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5" customHeight="1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5" customHeight="1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5" customHeight="1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5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19.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15" x14ac:dyDescent="0.25">
      <c r="A42" s="165" t="s">
        <v>3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 t="s">
        <v>3</v>
      </c>
      <c r="O42" s="211"/>
    </row>
    <row r="43" spans="1:17" ht="15.75" thickBot="1" x14ac:dyDescent="0.3">
      <c r="A43" s="269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1"/>
    </row>
    <row r="44" spans="1:17" ht="5.25" customHeight="1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35">
        <v>0.05</v>
      </c>
    </row>
    <row r="61" spans="17:17" x14ac:dyDescent="0.25">
      <c r="Q61" s="35">
        <v>4.9000000000000002E-2</v>
      </c>
    </row>
  </sheetData>
  <mergeCells count="76"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A29:M29"/>
    <mergeCell ref="N29:O29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N10:O10"/>
    <mergeCell ref="A11:D11"/>
    <mergeCell ref="F11:G11"/>
    <mergeCell ref="L24:O24"/>
    <mergeCell ref="D25:G25"/>
    <mergeCell ref="H25:K25"/>
    <mergeCell ref="A13:O13"/>
    <mergeCell ref="A16:B16"/>
    <mergeCell ref="L25:O25"/>
    <mergeCell ref="I9:I10"/>
    <mergeCell ref="J9:K10"/>
    <mergeCell ref="L9:O9"/>
    <mergeCell ref="L10:M10"/>
    <mergeCell ref="H9:H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9:M39"/>
    <mergeCell ref="N39:O39"/>
    <mergeCell ref="A40:M40"/>
    <mergeCell ref="N40:O40"/>
    <mergeCell ref="A36:M36"/>
    <mergeCell ref="N36:O36"/>
    <mergeCell ref="A37:M37"/>
    <mergeCell ref="N37:O37"/>
    <mergeCell ref="A38:M38"/>
    <mergeCell ref="N38:O38"/>
  </mergeCells>
  <dataValidations count="1">
    <dataValidation type="list" allowBlank="1" showInputMessage="1" showErrorMessage="1" sqref="J11:O11" xr:uid="{00000000-0002-0000-09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X62"/>
  <sheetViews>
    <sheetView topLeftCell="A6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85546875" style="2" customWidth="1"/>
    <col min="17" max="18" width="6.85546875" style="2" hidden="1" customWidth="1"/>
    <col min="19" max="19" width="6.855468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2.75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.7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1.25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Sta.Mría'!$B17</f>
        <v>Índice de agua no contabilizada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Sta.Mría'!F17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Sta.Mría'!A17</f>
        <v>IN10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48.75" customHeight="1" thickBot="1" x14ac:dyDescent="0.3">
      <c r="A11" s="212" t="str">
        <f>'SET SP Sta.Mría'!$C17</f>
        <v>Lograr que Aguas del Huila facture la totalidad del agua producida.</v>
      </c>
      <c r="B11" s="213"/>
      <c r="C11" s="213"/>
      <c r="D11" s="213"/>
      <c r="E11" s="14" t="s">
        <v>35</v>
      </c>
      <c r="F11" s="279" t="str">
        <f>'SET SP Sta.Mría'!$D17</f>
        <v xml:space="preserve">(Volumen  producido - Volumen facturado /   Volumen  producido)   x 100          </v>
      </c>
      <c r="G11" s="281"/>
      <c r="H11" s="12">
        <f>$O18</f>
        <v>0.3</v>
      </c>
      <c r="I11" s="13" t="str">
        <f>'SET SP Sta.Mría'!$E17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1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72" t="s">
        <v>31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4"/>
      <c r="V14" s="7"/>
      <c r="W14" s="6"/>
      <c r="X14" s="6"/>
    </row>
    <row r="15" spans="1:24" ht="16.5" customHeight="1" x14ac:dyDescent="0.25">
      <c r="A15" s="231" t="str">
        <f>+'09'!A15:O15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55">
        <f t="shared" ref="C17:N17" si="0">$O$17</f>
        <v>0.46</v>
      </c>
      <c r="D17" s="55">
        <f t="shared" si="0"/>
        <v>0.46</v>
      </c>
      <c r="E17" s="55">
        <f t="shared" si="0"/>
        <v>0.46</v>
      </c>
      <c r="F17" s="55">
        <f t="shared" si="0"/>
        <v>0.46</v>
      </c>
      <c r="G17" s="55">
        <f t="shared" si="0"/>
        <v>0.46</v>
      </c>
      <c r="H17" s="55">
        <f t="shared" si="0"/>
        <v>0.46</v>
      </c>
      <c r="I17" s="55">
        <f t="shared" si="0"/>
        <v>0.46</v>
      </c>
      <c r="J17" s="55">
        <f t="shared" si="0"/>
        <v>0.46</v>
      </c>
      <c r="K17" s="55">
        <f t="shared" si="0"/>
        <v>0.46</v>
      </c>
      <c r="L17" s="55">
        <f t="shared" si="0"/>
        <v>0.46</v>
      </c>
      <c r="M17" s="55">
        <f t="shared" si="0"/>
        <v>0.46</v>
      </c>
      <c r="N17" s="55">
        <f t="shared" si="0"/>
        <v>0.46</v>
      </c>
      <c r="O17" s="90">
        <f>'SET SP Sta.Mría'!J17</f>
        <v>0.46</v>
      </c>
      <c r="V17" s="7"/>
      <c r="W17" s="8"/>
      <c r="X17" s="8"/>
    </row>
    <row r="18" spans="1:24" ht="17.25" customHeight="1" x14ac:dyDescent="0.25">
      <c r="A18" s="242" t="str">
        <f>+'09'!A18:B18</f>
        <v>META  AÑO 2025</v>
      </c>
      <c r="B18" s="243"/>
      <c r="C18" s="55">
        <f t="shared" ref="C18:N18" si="1">$O$18</f>
        <v>0.3</v>
      </c>
      <c r="D18" s="55">
        <f t="shared" si="1"/>
        <v>0.3</v>
      </c>
      <c r="E18" s="55">
        <f t="shared" si="1"/>
        <v>0.3</v>
      </c>
      <c r="F18" s="55">
        <f t="shared" si="1"/>
        <v>0.3</v>
      </c>
      <c r="G18" s="55">
        <f t="shared" si="1"/>
        <v>0.3</v>
      </c>
      <c r="H18" s="55">
        <f t="shared" si="1"/>
        <v>0.3</v>
      </c>
      <c r="I18" s="55">
        <f t="shared" si="1"/>
        <v>0.3</v>
      </c>
      <c r="J18" s="55">
        <f t="shared" si="1"/>
        <v>0.3</v>
      </c>
      <c r="K18" s="55">
        <f t="shared" si="1"/>
        <v>0.3</v>
      </c>
      <c r="L18" s="55">
        <f t="shared" si="1"/>
        <v>0.3</v>
      </c>
      <c r="M18" s="55">
        <f t="shared" si="1"/>
        <v>0.3</v>
      </c>
      <c r="N18" s="55">
        <f t="shared" si="1"/>
        <v>0.3</v>
      </c>
      <c r="O18" s="90">
        <f>'SET SP Sta.Mría'!K17</f>
        <v>0.3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>
        <f>IF((C21),(C20-C21)/C20,"-")</f>
        <v>0.28140411952422395</v>
      </c>
      <c r="D19" s="10">
        <f t="shared" ref="D19:O19" si="2">IF((D21),(D20-D21)/D20,"-")</f>
        <v>-9.923339011925042E-2</v>
      </c>
      <c r="E19" s="10">
        <f t="shared" si="2"/>
        <v>0.17486203261610964</v>
      </c>
      <c r="F19" s="10" t="e">
        <f t="shared" si="2"/>
        <v>#DIV/0!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>
        <f t="shared" si="2"/>
        <v>0.27547102947256513</v>
      </c>
      <c r="O19" s="11">
        <f t="shared" si="2"/>
        <v>-4.1541159016319738E-2</v>
      </c>
      <c r="V19" s="7"/>
      <c r="W19" s="8"/>
      <c r="X19" s="8"/>
    </row>
    <row r="20" spans="1:24" ht="17.25" customHeight="1" x14ac:dyDescent="0.25">
      <c r="A20" s="248" t="s">
        <v>37</v>
      </c>
      <c r="B20" s="31" t="s">
        <v>141</v>
      </c>
      <c r="C20" s="20">
        <f>+'STA MARIA2020'!D$9</f>
        <v>17235</v>
      </c>
      <c r="D20" s="20">
        <f>+'STA MARIA2020'!E$9</f>
        <v>16436</v>
      </c>
      <c r="E20" s="20">
        <f>+'STA MARIA2020'!F$9</f>
        <v>16127</v>
      </c>
      <c r="F20" s="20">
        <f>+'STA MARIA2020'!G$9</f>
        <v>0</v>
      </c>
      <c r="G20" s="20">
        <f>+'STA MARIA2020'!H$9</f>
        <v>0</v>
      </c>
      <c r="H20" s="20">
        <f>+'STA MARIA2020'!I$9</f>
        <v>0</v>
      </c>
      <c r="I20" s="20">
        <f>+'STA MARIA2020'!J$9</f>
        <v>0</v>
      </c>
      <c r="J20" s="20">
        <f>+'STA MARIA2020'!K$9</f>
        <v>0</v>
      </c>
      <c r="K20" s="20">
        <f>+'STA MARIA2020'!L$9</f>
        <v>0</v>
      </c>
      <c r="L20" s="20">
        <f>+'STA MARIA2020'!M$9</f>
        <v>0</v>
      </c>
      <c r="M20" s="20">
        <f>+'STA MARIA2020'!N$9</f>
        <v>0</v>
      </c>
      <c r="N20" s="20">
        <f>+'STA MARIA2020'!O$9</f>
        <v>16931</v>
      </c>
      <c r="O20" s="21">
        <f>SUM(C20:N20)</f>
        <v>66729</v>
      </c>
      <c r="V20" s="7"/>
      <c r="W20" s="8"/>
      <c r="X20" s="8"/>
    </row>
    <row r="21" spans="1:24" ht="17.25" customHeight="1" x14ac:dyDescent="0.25">
      <c r="A21" s="248"/>
      <c r="B21" s="31" t="s">
        <v>142</v>
      </c>
      <c r="C21" s="20">
        <f>+'STA MARIA2020'!D$10</f>
        <v>12385</v>
      </c>
      <c r="D21" s="20">
        <f>+'STA MARIA2020'!E$10</f>
        <v>18067</v>
      </c>
      <c r="E21" s="20">
        <f>+'STA MARIA2020'!F$10</f>
        <v>13307</v>
      </c>
      <c r="F21" s="20">
        <f>+'STA MARIA2020'!G$10</f>
        <v>13475</v>
      </c>
      <c r="G21" s="20">
        <f>+'STA MARIA2020'!H$10</f>
        <v>0</v>
      </c>
      <c r="H21" s="20">
        <f>+'STA MARIA2020'!I$10</f>
        <v>0</v>
      </c>
      <c r="I21" s="20">
        <f>+'STA MARIA2020'!J$10</f>
        <v>0</v>
      </c>
      <c r="J21" s="20">
        <f>+'STA MARIA2020'!K$10</f>
        <v>0</v>
      </c>
      <c r="K21" s="20">
        <f>+'STA MARIA2020'!L$10</f>
        <v>0</v>
      </c>
      <c r="L21" s="20">
        <f>+'STA MARIA2020'!M$10</f>
        <v>0</v>
      </c>
      <c r="M21" s="20">
        <f>+'STA MARIA2020'!N$10</f>
        <v>0</v>
      </c>
      <c r="N21" s="20">
        <f>+'STA MARIA2020'!O$10</f>
        <v>12267</v>
      </c>
      <c r="O21" s="21">
        <f>SUM(C21:N21)</f>
        <v>69501</v>
      </c>
      <c r="V21" s="7"/>
      <c r="W21" s="8"/>
      <c r="X21" s="8"/>
    </row>
    <row r="22" spans="1:24" ht="12" customHeight="1" x14ac:dyDescent="0.25">
      <c r="A22" s="248"/>
      <c r="B22" s="7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49"/>
      <c r="B23" s="75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50" t="s">
        <v>34</v>
      </c>
      <c r="B24" s="251"/>
      <c r="C24" s="252"/>
      <c r="D24" s="239" t="str">
        <f>'SET SP Sta.Mría'!$G17</f>
        <v>Menor al 30%</v>
      </c>
      <c r="E24" s="240"/>
      <c r="F24" s="240"/>
      <c r="G24" s="241"/>
      <c r="H24" s="239" t="str">
        <f>'SET SP Sta.Mría'!$H17</f>
        <v>Entre el 30% y el 50%</v>
      </c>
      <c r="I24" s="240"/>
      <c r="J24" s="240"/>
      <c r="K24" s="241"/>
      <c r="L24" s="239" t="str">
        <f>'SET SP Sta.Mría'!$I17</f>
        <v>Mayor al 50%</v>
      </c>
      <c r="M24" s="244"/>
      <c r="N24" s="244"/>
      <c r="O24" s="245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64.75" customHeight="1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8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7.25" customHeight="1" x14ac:dyDescent="0.25">
      <c r="A29" s="165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5.75" customHeight="1" x14ac:dyDescent="0.2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8.75" customHeight="1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7.25" customHeight="1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7.25" customHeight="1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8.75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7.2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19.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15" x14ac:dyDescent="0.25">
      <c r="A42" s="165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/>
      <c r="O42" s="211"/>
    </row>
    <row r="43" spans="1:17" ht="15" x14ac:dyDescent="0.25">
      <c r="A43" s="165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210"/>
      <c r="O43" s="211"/>
    </row>
    <row r="44" spans="1:17" ht="15.75" thickBot="1" x14ac:dyDescent="0.3">
      <c r="A44" s="165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210"/>
      <c r="O44" s="211"/>
    </row>
    <row r="45" spans="1:17" ht="5.25" customHeight="1" x14ac:dyDescent="0.25">
      <c r="A45" s="257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35">
        <v>0.3</v>
      </c>
    </row>
    <row r="62" spans="17:17" x14ac:dyDescent="0.25">
      <c r="Q62" s="35">
        <v>0.29899999999999999</v>
      </c>
    </row>
  </sheetData>
  <mergeCells count="78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31:M31"/>
    <mergeCell ref="N31:O31"/>
    <mergeCell ref="A32:M32"/>
    <mergeCell ref="N32:O32"/>
    <mergeCell ref="A33:M33"/>
    <mergeCell ref="N33:O33"/>
    <mergeCell ref="A28:M28"/>
    <mergeCell ref="N28:O28"/>
    <mergeCell ref="A29:M29"/>
    <mergeCell ref="N29:O29"/>
    <mergeCell ref="A30:M30"/>
    <mergeCell ref="N30:O30"/>
    <mergeCell ref="A45:O45"/>
    <mergeCell ref="A41:M41"/>
    <mergeCell ref="N41:O41"/>
    <mergeCell ref="A42:M42"/>
    <mergeCell ref="N42:O42"/>
    <mergeCell ref="A43:M43"/>
    <mergeCell ref="N43:O43"/>
    <mergeCell ref="A44:M44"/>
    <mergeCell ref="N44:O44"/>
    <mergeCell ref="A34:M34"/>
    <mergeCell ref="N34:O34"/>
    <mergeCell ref="A35:M35"/>
    <mergeCell ref="N35:O35"/>
    <mergeCell ref="A36:M36"/>
    <mergeCell ref="N36:O36"/>
    <mergeCell ref="A40:M40"/>
    <mergeCell ref="N40:O40"/>
    <mergeCell ref="A37:M37"/>
    <mergeCell ref="N37:O37"/>
    <mergeCell ref="A38:M38"/>
    <mergeCell ref="N38:O38"/>
    <mergeCell ref="A39:M39"/>
    <mergeCell ref="N39:O39"/>
  </mergeCells>
  <dataValidations count="1">
    <dataValidation type="list" allowBlank="1" showInputMessage="1" showErrorMessage="1" sqref="J11:O11" xr:uid="{00000000-0002-0000-0A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X61"/>
  <sheetViews>
    <sheetView topLeftCell="A8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" style="2" customWidth="1"/>
    <col min="17" max="18" width="6" style="2" hidden="1" customWidth="1"/>
    <col min="19" max="19" width="6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3.5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.7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3.5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Sta.Mría'!$B18</f>
        <v>Continuidad del servicio (Acueducto)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Sta.Mría'!F18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Sta.Mría'!A18</f>
        <v>IN11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39.75" customHeight="1" thickBot="1" x14ac:dyDescent="0.3">
      <c r="A11" s="212" t="str">
        <f>'SET SP Sta.Mría'!$C18</f>
        <v>Prestar el servico de acueducto en forma continua las 24 horas.</v>
      </c>
      <c r="B11" s="213"/>
      <c r="C11" s="213"/>
      <c r="D11" s="213"/>
      <c r="E11" s="14" t="s">
        <v>35</v>
      </c>
      <c r="F11" s="279" t="str">
        <f>'SET SP Sta.Mría'!$D18</f>
        <v>(720 - Horas sin servicio mensuales) / 720) * 100</v>
      </c>
      <c r="G11" s="281"/>
      <c r="H11" s="12">
        <f>$O18</f>
        <v>0.99</v>
      </c>
      <c r="I11" s="13" t="str">
        <f>'SET SP Sta.Mría'!$E18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1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72" t="s">
        <v>31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4"/>
      <c r="V14" s="7"/>
      <c r="W14" s="6"/>
      <c r="X14" s="6"/>
    </row>
    <row r="15" spans="1:24" ht="16.5" customHeight="1" x14ac:dyDescent="0.25">
      <c r="A15" s="231" t="str">
        <f>+'10'!A15:O15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89">
        <f t="shared" ref="C17:N17" si="0">$O$17</f>
        <v>0.98</v>
      </c>
      <c r="D17" s="89">
        <f t="shared" si="0"/>
        <v>0.98</v>
      </c>
      <c r="E17" s="89">
        <f t="shared" si="0"/>
        <v>0.98</v>
      </c>
      <c r="F17" s="89">
        <f t="shared" si="0"/>
        <v>0.98</v>
      </c>
      <c r="G17" s="89">
        <f t="shared" si="0"/>
        <v>0.98</v>
      </c>
      <c r="H17" s="89">
        <f t="shared" si="0"/>
        <v>0.98</v>
      </c>
      <c r="I17" s="89">
        <f t="shared" si="0"/>
        <v>0.98</v>
      </c>
      <c r="J17" s="89">
        <f t="shared" si="0"/>
        <v>0.98</v>
      </c>
      <c r="K17" s="89">
        <f t="shared" si="0"/>
        <v>0.98</v>
      </c>
      <c r="L17" s="89">
        <f t="shared" si="0"/>
        <v>0.98</v>
      </c>
      <c r="M17" s="89">
        <f t="shared" si="0"/>
        <v>0.98</v>
      </c>
      <c r="N17" s="89">
        <f t="shared" si="0"/>
        <v>0.98</v>
      </c>
      <c r="O17" s="93">
        <f>'SET SP Sta.Mría'!J18</f>
        <v>0.98</v>
      </c>
      <c r="V17" s="7"/>
      <c r="W17" s="8"/>
      <c r="X17" s="8"/>
    </row>
    <row r="18" spans="1:24" ht="17.25" customHeight="1" x14ac:dyDescent="0.25">
      <c r="A18" s="242" t="str">
        <f>+'10'!A18:B18</f>
        <v>META  AÑO 2025</v>
      </c>
      <c r="B18" s="243"/>
      <c r="C18" s="89">
        <f t="shared" ref="C18:N18" si="1">$O$18</f>
        <v>0.99</v>
      </c>
      <c r="D18" s="89">
        <f t="shared" si="1"/>
        <v>0.99</v>
      </c>
      <c r="E18" s="89">
        <f t="shared" si="1"/>
        <v>0.99</v>
      </c>
      <c r="F18" s="89">
        <f t="shared" si="1"/>
        <v>0.99</v>
      </c>
      <c r="G18" s="89">
        <f t="shared" si="1"/>
        <v>0.99</v>
      </c>
      <c r="H18" s="89">
        <f t="shared" si="1"/>
        <v>0.99</v>
      </c>
      <c r="I18" s="89">
        <f t="shared" si="1"/>
        <v>0.99</v>
      </c>
      <c r="J18" s="89">
        <f t="shared" si="1"/>
        <v>0.99</v>
      </c>
      <c r="K18" s="89">
        <f t="shared" si="1"/>
        <v>0.99</v>
      </c>
      <c r="L18" s="89">
        <f t="shared" si="1"/>
        <v>0.99</v>
      </c>
      <c r="M18" s="89">
        <f t="shared" si="1"/>
        <v>0.99</v>
      </c>
      <c r="N18" s="89">
        <f t="shared" si="1"/>
        <v>0.99</v>
      </c>
      <c r="O18" s="93">
        <f>'SET SP Sta.Mría'!K18</f>
        <v>0.99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>
        <f>IF(ISNUMBER(C20),(720-C20)/720,"-")</f>
        <v>1</v>
      </c>
      <c r="D19" s="10">
        <f t="shared" ref="D19:I19" si="2">IF(ISNUMBER(D20),(720-D20)/720,"-")</f>
        <v>1</v>
      </c>
      <c r="E19" s="10">
        <f t="shared" si="2"/>
        <v>1</v>
      </c>
      <c r="F19" s="10">
        <f t="shared" si="2"/>
        <v>1</v>
      </c>
      <c r="G19" s="10">
        <f t="shared" si="2"/>
        <v>1</v>
      </c>
      <c r="H19" s="10">
        <f t="shared" si="2"/>
        <v>1</v>
      </c>
      <c r="I19" s="10">
        <f t="shared" si="2"/>
        <v>1</v>
      </c>
      <c r="J19" s="10">
        <f t="shared" ref="J19" si="3">IF(ISNUMBER(J20),(720-J20)/720,"-")</f>
        <v>1</v>
      </c>
      <c r="K19" s="10">
        <f t="shared" ref="K19" si="4">IF(ISNUMBER(K20),(720-K20)/720,"-")</f>
        <v>1</v>
      </c>
      <c r="L19" s="10">
        <f t="shared" ref="L19" si="5">IF(ISNUMBER(L20),(720-L20)/720,"-")</f>
        <v>1</v>
      </c>
      <c r="M19" s="10">
        <f t="shared" ref="M19" si="6">IF(ISNUMBER(M20),(720-M20)/720,"-")</f>
        <v>1</v>
      </c>
      <c r="N19" s="10">
        <f t="shared" ref="N19" si="7">IF(ISNUMBER(N20),(720-N20)/720,"-")</f>
        <v>1</v>
      </c>
      <c r="O19" s="11">
        <f>IF(ISNUMBER(O20),(720-O20)/720,"-")</f>
        <v>1</v>
      </c>
      <c r="V19" s="7"/>
      <c r="W19" s="8"/>
      <c r="X19" s="8"/>
    </row>
    <row r="20" spans="1:24" ht="16.5" customHeight="1" x14ac:dyDescent="0.25">
      <c r="A20" s="248" t="s">
        <v>37</v>
      </c>
      <c r="B20" s="31" t="s">
        <v>167</v>
      </c>
      <c r="C20" s="3">
        <f>+'STA MARIA2020'!D39</f>
        <v>0</v>
      </c>
      <c r="D20" s="3">
        <f>+'STA MARIA2020'!E39</f>
        <v>0</v>
      </c>
      <c r="E20" s="3">
        <f>+'STA MARIA2020'!F39</f>
        <v>0</v>
      </c>
      <c r="F20" s="3">
        <f>+'STA MARIA2020'!G39</f>
        <v>0</v>
      </c>
      <c r="G20" s="3">
        <f>+'STA MARIA2020'!H39</f>
        <v>0</v>
      </c>
      <c r="H20" s="3">
        <f>+'STA MARIA2020'!I39</f>
        <v>0</v>
      </c>
      <c r="I20" s="3">
        <f>+'STA MARIA2020'!J39</f>
        <v>0</v>
      </c>
      <c r="J20" s="3">
        <f>+'STA MARIA2020'!K39</f>
        <v>0</v>
      </c>
      <c r="K20" s="3">
        <f>+'STA MARIA2020'!L38</f>
        <v>0</v>
      </c>
      <c r="L20" s="3">
        <f>+'STA MARIA2020'!M39</f>
        <v>0</v>
      </c>
      <c r="M20" s="3">
        <f>+'STA MARIA2020'!N39</f>
        <v>0</v>
      </c>
      <c r="N20" s="3">
        <f>+'STA MARIA2020'!O39</f>
        <v>0</v>
      </c>
      <c r="O20" s="53">
        <f>AVERAGE(C20:N20)</f>
        <v>0</v>
      </c>
      <c r="V20" s="7"/>
      <c r="W20" s="8"/>
      <c r="X20" s="8"/>
    </row>
    <row r="21" spans="1:24" ht="13.5" customHeight="1" x14ac:dyDescent="0.25">
      <c r="A21" s="248"/>
      <c r="B21" s="73" t="s">
        <v>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4.25" customHeight="1" x14ac:dyDescent="0.25">
      <c r="A22" s="248"/>
      <c r="B22" s="7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4.25" customHeight="1" thickBot="1" x14ac:dyDescent="0.3">
      <c r="A23" s="249"/>
      <c r="B23" s="75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50" t="s">
        <v>34</v>
      </c>
      <c r="B24" s="251"/>
      <c r="C24" s="252"/>
      <c r="D24" s="239" t="str">
        <f>'SET SP Sta.Mría'!$G18</f>
        <v>Entre 80% y 100%</v>
      </c>
      <c r="E24" s="240"/>
      <c r="F24" s="240"/>
      <c r="G24" s="241"/>
      <c r="H24" s="239" t="str">
        <f>'SET SP Sta.Mría'!$H18</f>
        <v>Entre 60% y 79%</v>
      </c>
      <c r="I24" s="240"/>
      <c r="J24" s="240"/>
      <c r="K24" s="241"/>
      <c r="L24" s="239" t="str">
        <f>'SET SP Sta.Mría'!$I18</f>
        <v>Menor al 59%</v>
      </c>
      <c r="M24" s="244"/>
      <c r="N24" s="244"/>
      <c r="O24" s="245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64.75" customHeight="1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8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5" customHeight="1" x14ac:dyDescent="0.25">
      <c r="A29" s="165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5" customHeight="1" x14ac:dyDescent="0.2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5" customHeight="1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5" customHeight="1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5" customHeight="1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5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19.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15" x14ac:dyDescent="0.25">
      <c r="A42" s="165" t="s">
        <v>3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 t="s">
        <v>3</v>
      </c>
      <c r="O42" s="211"/>
    </row>
    <row r="43" spans="1:17" ht="15.75" thickBot="1" x14ac:dyDescent="0.3">
      <c r="A43" s="269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1"/>
    </row>
    <row r="44" spans="1:17" ht="5.25" customHeight="1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</v>
      </c>
    </row>
    <row r="61" spans="17:17" x14ac:dyDescent="0.25">
      <c r="Q61" s="9">
        <v>0.95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31:M31"/>
    <mergeCell ref="N31:O31"/>
    <mergeCell ref="A32:M32"/>
    <mergeCell ref="N32:O32"/>
    <mergeCell ref="A33:M33"/>
    <mergeCell ref="N33:O33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4:M34"/>
    <mergeCell ref="N34:O34"/>
    <mergeCell ref="A35:M35"/>
    <mergeCell ref="N35:O35"/>
    <mergeCell ref="A36:M36"/>
    <mergeCell ref="N36:O36"/>
    <mergeCell ref="A40:M40"/>
    <mergeCell ref="N40:O40"/>
    <mergeCell ref="A37:M37"/>
    <mergeCell ref="N37:O37"/>
    <mergeCell ref="A38:M38"/>
    <mergeCell ref="N38:O38"/>
    <mergeCell ref="A39:M39"/>
    <mergeCell ref="N39:O39"/>
  </mergeCells>
  <dataValidations count="1">
    <dataValidation type="list" allowBlank="1" showInputMessage="1" showErrorMessage="1" sqref="J11:O11" xr:uid="{00000000-0002-0000-0B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X61"/>
  <sheetViews>
    <sheetView topLeftCell="A8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28515625" style="2" customWidth="1"/>
    <col min="17" max="18" width="6.28515625" style="2" hidden="1" customWidth="1"/>
    <col min="19" max="19" width="6.28515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2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.7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2.75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Sta.Mría'!$B19</f>
        <v>Continuidad del Servicio (Aseo)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Sta.Mría'!F19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Sta.Mría'!A19</f>
        <v>IN12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48.75" customHeight="1" thickBot="1" x14ac:dyDescent="0.3">
      <c r="A11" s="212" t="str">
        <f>'SET SP Sta.Mría'!$C19</f>
        <v>Recolectar los residuos solidos en los dias y rutas establecidas en el PEGIRS.</v>
      </c>
      <c r="B11" s="213"/>
      <c r="C11" s="213"/>
      <c r="D11" s="213"/>
      <c r="E11" s="14" t="s">
        <v>35</v>
      </c>
      <c r="F11" s="279" t="str">
        <f>'SET SP Sta.Mría'!$D19</f>
        <v>Número de dias de recolección de residuos sólidos por semestre/ 144</v>
      </c>
      <c r="G11" s="281"/>
      <c r="H11" s="12">
        <f>$O18</f>
        <v>1</v>
      </c>
      <c r="I11" s="13" t="str">
        <f>'SET SP Sta.Mría'!$E19</f>
        <v>Semestral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1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72" t="s">
        <v>31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4"/>
      <c r="V14" s="7"/>
      <c r="W14" s="6"/>
      <c r="X14" s="6"/>
    </row>
    <row r="15" spans="1:24" ht="16.5" customHeight="1" x14ac:dyDescent="0.25">
      <c r="A15" s="231" t="str">
        <f>+'11'!A15:O15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89">
        <f t="shared" ref="C17:N17" si="0">$O$17</f>
        <v>0.98</v>
      </c>
      <c r="D17" s="89">
        <f t="shared" si="0"/>
        <v>0.98</v>
      </c>
      <c r="E17" s="89">
        <f t="shared" si="0"/>
        <v>0.98</v>
      </c>
      <c r="F17" s="89">
        <f t="shared" si="0"/>
        <v>0.98</v>
      </c>
      <c r="G17" s="89">
        <f t="shared" si="0"/>
        <v>0.98</v>
      </c>
      <c r="H17" s="89">
        <f t="shared" si="0"/>
        <v>0.98</v>
      </c>
      <c r="I17" s="89">
        <f t="shared" si="0"/>
        <v>0.98</v>
      </c>
      <c r="J17" s="89">
        <f t="shared" si="0"/>
        <v>0.98</v>
      </c>
      <c r="K17" s="89">
        <f t="shared" si="0"/>
        <v>0.98</v>
      </c>
      <c r="L17" s="89">
        <f t="shared" si="0"/>
        <v>0.98</v>
      </c>
      <c r="M17" s="89">
        <f t="shared" si="0"/>
        <v>0.98</v>
      </c>
      <c r="N17" s="89">
        <f t="shared" si="0"/>
        <v>0.98</v>
      </c>
      <c r="O17" s="93">
        <f>'SET SP Sta.Mría'!J19</f>
        <v>0.98</v>
      </c>
      <c r="V17" s="7"/>
      <c r="W17" s="8"/>
      <c r="X17" s="8"/>
    </row>
    <row r="18" spans="1:24" ht="17.25" customHeight="1" x14ac:dyDescent="0.25">
      <c r="A18" s="242" t="str">
        <f>+'11'!A18:B18</f>
        <v>META  AÑO 2025</v>
      </c>
      <c r="B18" s="243"/>
      <c r="C18" s="89">
        <f t="shared" ref="C18:N18" si="1">$O$18</f>
        <v>1</v>
      </c>
      <c r="D18" s="89">
        <f t="shared" si="1"/>
        <v>1</v>
      </c>
      <c r="E18" s="89">
        <f t="shared" si="1"/>
        <v>1</v>
      </c>
      <c r="F18" s="89">
        <f t="shared" si="1"/>
        <v>1</v>
      </c>
      <c r="G18" s="89">
        <f t="shared" si="1"/>
        <v>1</v>
      </c>
      <c r="H18" s="89">
        <f t="shared" si="1"/>
        <v>1</v>
      </c>
      <c r="I18" s="89">
        <f t="shared" si="1"/>
        <v>1</v>
      </c>
      <c r="J18" s="89">
        <f t="shared" si="1"/>
        <v>1</v>
      </c>
      <c r="K18" s="89">
        <f t="shared" si="1"/>
        <v>1</v>
      </c>
      <c r="L18" s="89">
        <f t="shared" si="1"/>
        <v>1</v>
      </c>
      <c r="M18" s="89">
        <f t="shared" si="1"/>
        <v>1</v>
      </c>
      <c r="N18" s="89">
        <f t="shared" si="1"/>
        <v>1</v>
      </c>
      <c r="O18" s="93">
        <f>'SET SP Sta.Mría'!K19</f>
        <v>1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 t="str">
        <f>IF(ISNUMBER(C20),C20/144,"-")</f>
        <v>-</v>
      </c>
      <c r="D19" s="10" t="str">
        <f t="shared" ref="D19:N19" si="2">IF(ISNUMBER(D20),D20/144,"-")</f>
        <v>-</v>
      </c>
      <c r="E19" s="10" t="str">
        <f t="shared" si="2"/>
        <v>-</v>
      </c>
      <c r="F19" s="10" t="str">
        <f t="shared" si="2"/>
        <v>-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str">
        <f t="shared" si="2"/>
        <v>-</v>
      </c>
      <c r="O19" s="11" t="str">
        <f t="shared" ref="O19" si="3">IF((O20),O20/144,"-")</f>
        <v>-</v>
      </c>
      <c r="V19" s="7"/>
      <c r="W19" s="8"/>
      <c r="X19" s="8"/>
    </row>
    <row r="20" spans="1:24" ht="21.75" customHeight="1" x14ac:dyDescent="0.25">
      <c r="A20" s="248" t="s">
        <v>37</v>
      </c>
      <c r="B20" s="31" t="s">
        <v>143</v>
      </c>
      <c r="C20" s="3" t="s">
        <v>173</v>
      </c>
      <c r="D20" s="3" t="s">
        <v>173</v>
      </c>
      <c r="E20" s="3" t="s">
        <v>173</v>
      </c>
      <c r="F20" s="3" t="s">
        <v>173</v>
      </c>
      <c r="G20" s="3" t="s">
        <v>173</v>
      </c>
      <c r="H20" s="3" t="s">
        <v>173</v>
      </c>
      <c r="I20" s="3" t="s">
        <v>173</v>
      </c>
      <c r="J20" s="3" t="s">
        <v>173</v>
      </c>
      <c r="K20" s="3" t="s">
        <v>173</v>
      </c>
      <c r="L20" s="3" t="s">
        <v>173</v>
      </c>
      <c r="M20" s="3" t="s">
        <v>173</v>
      </c>
      <c r="N20" s="3" t="s">
        <v>173</v>
      </c>
      <c r="O20" s="16">
        <f>SUM(C20:N20)</f>
        <v>0</v>
      </c>
      <c r="V20" s="7"/>
      <c r="W20" s="8"/>
      <c r="X20" s="8"/>
    </row>
    <row r="21" spans="1:24" ht="18" customHeight="1" x14ac:dyDescent="0.25">
      <c r="A21" s="248"/>
      <c r="B21" s="3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3.5" customHeight="1" x14ac:dyDescent="0.25">
      <c r="A22" s="248"/>
      <c r="B22" s="7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49"/>
      <c r="B23" s="75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50" t="s">
        <v>34</v>
      </c>
      <c r="B24" s="251"/>
      <c r="C24" s="252"/>
      <c r="D24" s="239" t="str">
        <f>'SET SP Sta.Mría'!$G19</f>
        <v>Entre 91% y 100%</v>
      </c>
      <c r="E24" s="240"/>
      <c r="F24" s="240"/>
      <c r="G24" s="241"/>
      <c r="H24" s="239" t="str">
        <f>'SET SP Sta.Mría'!$H19</f>
        <v>Entre 71% y 90%</v>
      </c>
      <c r="I24" s="240"/>
      <c r="J24" s="240"/>
      <c r="K24" s="241"/>
      <c r="L24" s="239" t="str">
        <f>'SET SP Sta.Mría'!$I19</f>
        <v>Menor al 70%</v>
      </c>
      <c r="M24" s="244"/>
      <c r="N24" s="244"/>
      <c r="O24" s="245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64.75" customHeight="1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8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5" customHeight="1" x14ac:dyDescent="0.25">
      <c r="A29" s="165" t="s">
        <v>272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5" customHeight="1" x14ac:dyDescent="0.25">
      <c r="A30" s="165" t="s">
        <v>272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5" customHeight="1" x14ac:dyDescent="0.25">
      <c r="A31" s="165" t="s">
        <v>272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5" customHeight="1" x14ac:dyDescent="0.25">
      <c r="A32" s="165" t="s">
        <v>272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5" customHeight="1" x14ac:dyDescent="0.25">
      <c r="A33" s="165" t="s">
        <v>272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5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19.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15" x14ac:dyDescent="0.25">
      <c r="A42" s="165" t="s">
        <v>3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 t="s">
        <v>3</v>
      </c>
      <c r="O42" s="211"/>
    </row>
    <row r="43" spans="1:17" ht="15.75" thickBot="1" x14ac:dyDescent="0.3">
      <c r="A43" s="269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1"/>
    </row>
    <row r="44" spans="1:17" ht="5.25" customHeight="1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0.98</v>
      </c>
    </row>
    <row r="61" spans="17:17" x14ac:dyDescent="0.25">
      <c r="Q61" s="9">
        <v>1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31:M31"/>
    <mergeCell ref="N31:O31"/>
    <mergeCell ref="A32:M32"/>
    <mergeCell ref="N32:O32"/>
    <mergeCell ref="A33:M33"/>
    <mergeCell ref="N33:O33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4:M34"/>
    <mergeCell ref="N34:O34"/>
    <mergeCell ref="A35:M35"/>
    <mergeCell ref="N35:O35"/>
    <mergeCell ref="A36:M36"/>
    <mergeCell ref="N36:O36"/>
    <mergeCell ref="A40:M40"/>
    <mergeCell ref="N40:O40"/>
    <mergeCell ref="A37:M37"/>
    <mergeCell ref="N37:O37"/>
    <mergeCell ref="A38:M38"/>
    <mergeCell ref="N38:O38"/>
    <mergeCell ref="A39:M39"/>
    <mergeCell ref="N39:O39"/>
  </mergeCells>
  <dataValidations count="1">
    <dataValidation type="list" allowBlank="1" showInputMessage="1" showErrorMessage="1" sqref="J11:O11" xr:uid="{00000000-0002-0000-0C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X61"/>
  <sheetViews>
    <sheetView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8.140625" style="2" customWidth="1"/>
    <col min="17" max="17" width="8" style="2" hidden="1" customWidth="1"/>
    <col min="18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2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1.25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Sta.Mría'!$B20</f>
        <v>PQR en la prestación del servicio.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Sta.Mría'!F20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Sta.Mría'!A20</f>
        <v>IN13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48" customHeight="1" thickBot="1" x14ac:dyDescent="0.3">
      <c r="A11" s="212" t="str">
        <f>'SET SP Sta.Mría'!$C20</f>
        <v>Medir el grado de satisfación de los suscriptores en la prestación del servicio.</v>
      </c>
      <c r="B11" s="213"/>
      <c r="C11" s="213"/>
      <c r="D11" s="213"/>
      <c r="E11" s="14" t="s">
        <v>35</v>
      </c>
      <c r="F11" s="279" t="str">
        <f>'SET SP Sta.Mría'!$D20</f>
        <v>Número de PQR recibidas / número de suscriptores del servicio *100</v>
      </c>
      <c r="G11" s="281"/>
      <c r="H11" s="12" t="str">
        <f>$O18</f>
        <v>&lt; %</v>
      </c>
      <c r="I11" s="13" t="str">
        <f>'SET SP Sta.Mría'!$E20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1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72" t="s">
        <v>31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4"/>
      <c r="V14" s="7"/>
      <c r="W14" s="6"/>
      <c r="X14" s="6"/>
    </row>
    <row r="15" spans="1:24" ht="16.5" customHeight="1" x14ac:dyDescent="0.25">
      <c r="A15" s="231" t="str">
        <f>+'12'!A15:O15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89" t="str">
        <f t="shared" ref="C17:N17" si="0">$O$17</f>
        <v>&lt; 1%</v>
      </c>
      <c r="D17" s="89" t="str">
        <f t="shared" si="0"/>
        <v>&lt; 1%</v>
      </c>
      <c r="E17" s="89" t="str">
        <f t="shared" si="0"/>
        <v>&lt; 1%</v>
      </c>
      <c r="F17" s="89" t="str">
        <f t="shared" si="0"/>
        <v>&lt; 1%</v>
      </c>
      <c r="G17" s="89" t="str">
        <f t="shared" si="0"/>
        <v>&lt; 1%</v>
      </c>
      <c r="H17" s="89" t="str">
        <f t="shared" si="0"/>
        <v>&lt; 1%</v>
      </c>
      <c r="I17" s="89" t="str">
        <f t="shared" si="0"/>
        <v>&lt; 1%</v>
      </c>
      <c r="J17" s="89" t="str">
        <f t="shared" si="0"/>
        <v>&lt; 1%</v>
      </c>
      <c r="K17" s="89" t="str">
        <f t="shared" si="0"/>
        <v>&lt; 1%</v>
      </c>
      <c r="L17" s="89" t="str">
        <f t="shared" si="0"/>
        <v>&lt; 1%</v>
      </c>
      <c r="M17" s="89" t="str">
        <f t="shared" si="0"/>
        <v>&lt; 1%</v>
      </c>
      <c r="N17" s="89" t="str">
        <f t="shared" si="0"/>
        <v>&lt; 1%</v>
      </c>
      <c r="O17" s="93" t="str">
        <f>'SET SP Sta.Mría'!J20</f>
        <v>&lt; 1%</v>
      </c>
      <c r="V17" s="7"/>
      <c r="W17" s="8"/>
      <c r="X17" s="8"/>
    </row>
    <row r="18" spans="1:24" ht="17.25" customHeight="1" x14ac:dyDescent="0.25">
      <c r="A18" s="242" t="str">
        <f>+'12'!A18:B18</f>
        <v>META  AÑO 2025</v>
      </c>
      <c r="B18" s="243"/>
      <c r="C18" s="89" t="str">
        <f t="shared" ref="C18:N18" si="1">$O$18</f>
        <v>&lt; %</v>
      </c>
      <c r="D18" s="89" t="str">
        <f t="shared" si="1"/>
        <v>&lt; %</v>
      </c>
      <c r="E18" s="89" t="str">
        <f t="shared" si="1"/>
        <v>&lt; %</v>
      </c>
      <c r="F18" s="89" t="str">
        <f t="shared" si="1"/>
        <v>&lt; %</v>
      </c>
      <c r="G18" s="89" t="str">
        <f t="shared" si="1"/>
        <v>&lt; %</v>
      </c>
      <c r="H18" s="89" t="str">
        <f t="shared" si="1"/>
        <v>&lt; %</v>
      </c>
      <c r="I18" s="89" t="str">
        <f t="shared" si="1"/>
        <v>&lt; %</v>
      </c>
      <c r="J18" s="89" t="str">
        <f t="shared" si="1"/>
        <v>&lt; %</v>
      </c>
      <c r="K18" s="89" t="str">
        <f t="shared" si="1"/>
        <v>&lt; %</v>
      </c>
      <c r="L18" s="89" t="str">
        <f t="shared" si="1"/>
        <v>&lt; %</v>
      </c>
      <c r="M18" s="89" t="str">
        <f t="shared" si="1"/>
        <v>&lt; %</v>
      </c>
      <c r="N18" s="89" t="str">
        <f t="shared" si="1"/>
        <v>&lt; %</v>
      </c>
      <c r="O18" s="93" t="str">
        <f>'SET SP Sta.Mría'!K20</f>
        <v>&lt; %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>
        <f t="shared" ref="C19:E19" si="2">IF((C21),C20/C21,"-")</f>
        <v>0</v>
      </c>
      <c r="D19" s="10">
        <f t="shared" si="2"/>
        <v>2.5906735751295338E-3</v>
      </c>
      <c r="E19" s="10">
        <f t="shared" si="2"/>
        <v>0</v>
      </c>
      <c r="F19" s="10">
        <f>IF((F21),F20/F21,"-")</f>
        <v>0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0</v>
      </c>
      <c r="O19" s="11">
        <f t="shared" si="3"/>
        <v>5.1599587203302369E-4</v>
      </c>
      <c r="V19" s="7"/>
      <c r="W19" s="8"/>
      <c r="X19" s="8"/>
    </row>
    <row r="20" spans="1:24" ht="15" customHeight="1" x14ac:dyDescent="0.25">
      <c r="A20" s="248" t="s">
        <v>37</v>
      </c>
      <c r="B20" s="31" t="s">
        <v>165</v>
      </c>
      <c r="C20" s="20">
        <f>+'STA MARIA2020'!D40</f>
        <v>0</v>
      </c>
      <c r="D20" s="20">
        <f>+'STA MARIA2020'!E40</f>
        <v>3</v>
      </c>
      <c r="E20" s="20">
        <f>+'STA MARIA2020'!F40</f>
        <v>0</v>
      </c>
      <c r="F20" s="20">
        <f>+'STA MARIA2020'!G40</f>
        <v>0</v>
      </c>
      <c r="G20" s="20">
        <f>+'STA MARIA2020'!H40</f>
        <v>0</v>
      </c>
      <c r="H20" s="20">
        <f>+'STA MARIA2020'!I40</f>
        <v>0</v>
      </c>
      <c r="I20" s="20">
        <f>+'STA MARIA2020'!J40</f>
        <v>0</v>
      </c>
      <c r="J20" s="20">
        <f>+'STA MARIA2020'!K40</f>
        <v>0</v>
      </c>
      <c r="K20" s="20">
        <f>+'STA MARIA2020'!L40</f>
        <v>0</v>
      </c>
      <c r="L20" s="20">
        <f>+'STA MARIA2020'!M40</f>
        <v>0</v>
      </c>
      <c r="M20" s="20">
        <f>+'STA MARIA2020'!N40</f>
        <v>0</v>
      </c>
      <c r="N20" s="20">
        <f>+'STA MARIA2020'!O40</f>
        <v>0</v>
      </c>
      <c r="O20" s="21">
        <f>SUM(C20:N20)</f>
        <v>3</v>
      </c>
      <c r="V20" s="7"/>
      <c r="W20" s="8"/>
      <c r="X20" s="8"/>
    </row>
    <row r="21" spans="1:24" ht="12.75" customHeight="1" x14ac:dyDescent="0.25">
      <c r="A21" s="248"/>
      <c r="B21" s="31" t="s">
        <v>166</v>
      </c>
      <c r="C21" s="20">
        <f>+'06'!C20</f>
        <v>1155</v>
      </c>
      <c r="D21" s="20">
        <f>+'06'!D20</f>
        <v>1158</v>
      </c>
      <c r="E21" s="20">
        <f>+'06'!E20</f>
        <v>1162</v>
      </c>
      <c r="F21" s="20">
        <f>+'06'!F20</f>
        <v>1166</v>
      </c>
      <c r="G21" s="20">
        <f>+'06'!G20</f>
        <v>0</v>
      </c>
      <c r="H21" s="20">
        <f>+'06'!H20</f>
        <v>0</v>
      </c>
      <c r="I21" s="20">
        <f>+'06'!I20</f>
        <v>0</v>
      </c>
      <c r="J21" s="20">
        <f>+'06'!J20</f>
        <v>0</v>
      </c>
      <c r="K21" s="20">
        <f>+'06'!K20</f>
        <v>0</v>
      </c>
      <c r="L21" s="20">
        <f>+'06'!L20</f>
        <v>0</v>
      </c>
      <c r="M21" s="20">
        <f>+'06'!M20</f>
        <v>0</v>
      </c>
      <c r="N21" s="20">
        <f>+'06'!N20</f>
        <v>1173</v>
      </c>
      <c r="O21" s="21">
        <f>SUM(C21:N21)</f>
        <v>5814</v>
      </c>
      <c r="V21" s="7"/>
      <c r="W21" s="8"/>
      <c r="X21" s="8"/>
    </row>
    <row r="22" spans="1:24" ht="12.75" customHeight="1" x14ac:dyDescent="0.25">
      <c r="A22" s="248"/>
      <c r="B22" s="7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49"/>
      <c r="B23" s="75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50" t="s">
        <v>34</v>
      </c>
      <c r="B24" s="251"/>
      <c r="C24" s="252"/>
      <c r="D24" s="239" t="str">
        <f>'SET SP Sta.Mría'!$G20</f>
        <v>Entre 0 y 10%</v>
      </c>
      <c r="E24" s="240"/>
      <c r="F24" s="240"/>
      <c r="G24" s="241"/>
      <c r="H24" s="239" t="str">
        <f>'SET SP Sta.Mría'!$H20</f>
        <v>Entre 11% y el 20%</v>
      </c>
      <c r="I24" s="240"/>
      <c r="J24" s="240"/>
      <c r="K24" s="241"/>
      <c r="L24" s="239" t="str">
        <f>'SET SP Sta.Mría'!$I20</f>
        <v>Mayor al 21%</v>
      </c>
      <c r="M24" s="244"/>
      <c r="N24" s="244"/>
      <c r="O24" s="245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64.75" customHeight="1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8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5" customHeight="1" x14ac:dyDescent="0.25">
      <c r="A29" s="165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5" customHeight="1" x14ac:dyDescent="0.2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5" customHeight="1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5" customHeight="1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5" customHeight="1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5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19.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15" x14ac:dyDescent="0.25">
      <c r="A42" s="165" t="s">
        <v>3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 t="s">
        <v>3</v>
      </c>
      <c r="O42" s="211"/>
    </row>
    <row r="43" spans="1:17" ht="15.75" thickBot="1" x14ac:dyDescent="0.3">
      <c r="A43" s="269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1"/>
    </row>
    <row r="44" spans="1:17" ht="5.25" customHeight="1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52" t="s">
        <v>174</v>
      </c>
    </row>
    <row r="61" spans="17:17" x14ac:dyDescent="0.25">
      <c r="Q61" s="52" t="s">
        <v>170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31:M31"/>
    <mergeCell ref="N31:O31"/>
    <mergeCell ref="A32:M32"/>
    <mergeCell ref="N32:O32"/>
    <mergeCell ref="A33:M33"/>
    <mergeCell ref="N33:O33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4:M34"/>
    <mergeCell ref="N34:O34"/>
    <mergeCell ref="A35:M35"/>
    <mergeCell ref="N35:O35"/>
    <mergeCell ref="A36:M36"/>
    <mergeCell ref="N36:O36"/>
    <mergeCell ref="A40:M40"/>
    <mergeCell ref="N40:O40"/>
    <mergeCell ref="A37:M37"/>
    <mergeCell ref="N37:O37"/>
    <mergeCell ref="A38:M38"/>
    <mergeCell ref="N38:O38"/>
    <mergeCell ref="A39:M39"/>
    <mergeCell ref="N39:O39"/>
  </mergeCells>
  <dataValidations disablePrompts="1" count="1">
    <dataValidation type="list" allowBlank="1" showInputMessage="1" showErrorMessage="1" sqref="J11:O11" xr:uid="{00000000-0002-0000-0D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X61"/>
  <sheetViews>
    <sheetView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8.140625" style="2" customWidth="1"/>
    <col min="17" max="18" width="8.140625" style="2" hidden="1" customWidth="1"/>
    <col min="19" max="19" width="8.140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2.7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3.5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2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Sta.Mría'!$B21</f>
        <v>Disposición en Relleno Sanitario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Sta.Mría'!F21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Sta.Mría'!A21</f>
        <v>IN14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57.75" customHeight="1" thickBot="1" x14ac:dyDescent="0.3">
      <c r="A11" s="212" t="str">
        <f>'SET SP Sta.Mría'!$C21</f>
        <v>Disponer la totalidad de los residuos solidos recolectados en el sitio de disposición final.</v>
      </c>
      <c r="B11" s="213"/>
      <c r="C11" s="213"/>
      <c r="D11" s="213"/>
      <c r="E11" s="14" t="s">
        <v>35</v>
      </c>
      <c r="F11" s="279" t="str">
        <f>'SET SP Sta.Mría'!$D21</f>
        <v>(Residuos sólidos en relleno sanitario / Residuos sólidos producidos)     x 100    %</v>
      </c>
      <c r="G11" s="281"/>
      <c r="H11" s="12">
        <f>$O18</f>
        <v>1</v>
      </c>
      <c r="I11" s="13" t="str">
        <f>'SET SP Sta.Mría'!$E21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1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72" t="s">
        <v>31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4"/>
      <c r="V14" s="7"/>
      <c r="W14" s="6"/>
      <c r="X14" s="6"/>
    </row>
    <row r="15" spans="1:24" ht="16.5" customHeight="1" x14ac:dyDescent="0.25">
      <c r="A15" s="231" t="str">
        <f>+'13'!A15:O15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89">
        <f t="shared" ref="C17:N17" si="0">$O$17</f>
        <v>0.98</v>
      </c>
      <c r="D17" s="89">
        <f t="shared" si="0"/>
        <v>0.98</v>
      </c>
      <c r="E17" s="89">
        <f t="shared" si="0"/>
        <v>0.98</v>
      </c>
      <c r="F17" s="89">
        <f t="shared" si="0"/>
        <v>0.98</v>
      </c>
      <c r="G17" s="89">
        <f t="shared" si="0"/>
        <v>0.98</v>
      </c>
      <c r="H17" s="89">
        <f t="shared" si="0"/>
        <v>0.98</v>
      </c>
      <c r="I17" s="89">
        <f t="shared" si="0"/>
        <v>0.98</v>
      </c>
      <c r="J17" s="89">
        <f t="shared" si="0"/>
        <v>0.98</v>
      </c>
      <c r="K17" s="89">
        <f t="shared" si="0"/>
        <v>0.98</v>
      </c>
      <c r="L17" s="89">
        <f t="shared" si="0"/>
        <v>0.98</v>
      </c>
      <c r="M17" s="89">
        <f t="shared" si="0"/>
        <v>0.98</v>
      </c>
      <c r="N17" s="89">
        <f t="shared" si="0"/>
        <v>0.98</v>
      </c>
      <c r="O17" s="93">
        <f>'SET SP Sta.Mría'!J21</f>
        <v>0.98</v>
      </c>
      <c r="V17" s="7"/>
      <c r="W17" s="8"/>
      <c r="X17" s="8"/>
    </row>
    <row r="18" spans="1:24" ht="17.25" customHeight="1" x14ac:dyDescent="0.25">
      <c r="A18" s="242" t="str">
        <f>+'13'!A18:B18</f>
        <v>META  AÑO 2025</v>
      </c>
      <c r="B18" s="243"/>
      <c r="C18" s="89">
        <f t="shared" ref="C18:N18" si="1">$O$18</f>
        <v>1</v>
      </c>
      <c r="D18" s="89">
        <f t="shared" si="1"/>
        <v>1</v>
      </c>
      <c r="E18" s="89">
        <f t="shared" si="1"/>
        <v>1</v>
      </c>
      <c r="F18" s="89">
        <f t="shared" si="1"/>
        <v>1</v>
      </c>
      <c r="G18" s="89">
        <f t="shared" si="1"/>
        <v>1</v>
      </c>
      <c r="H18" s="89">
        <f t="shared" si="1"/>
        <v>1</v>
      </c>
      <c r="I18" s="89">
        <f t="shared" si="1"/>
        <v>1</v>
      </c>
      <c r="J18" s="89">
        <f t="shared" si="1"/>
        <v>1</v>
      </c>
      <c r="K18" s="89">
        <f t="shared" si="1"/>
        <v>1</v>
      </c>
      <c r="L18" s="89">
        <f t="shared" si="1"/>
        <v>1</v>
      </c>
      <c r="M18" s="89">
        <f t="shared" si="1"/>
        <v>1</v>
      </c>
      <c r="N18" s="89">
        <f t="shared" si="1"/>
        <v>1</v>
      </c>
      <c r="O18" s="93">
        <f>'SET SP Sta.Mría'!K21</f>
        <v>1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 t="str">
        <f>IF(ISNUMBER(C21),C20/C21,"-")</f>
        <v>-</v>
      </c>
      <c r="D19" s="10" t="str">
        <f t="shared" ref="D19:O19" si="2">IF(ISNUMBER(D21),D20/D21,"-")</f>
        <v>-</v>
      </c>
      <c r="E19" s="10" t="str">
        <f t="shared" si="2"/>
        <v>-</v>
      </c>
      <c r="F19" s="10" t="str">
        <f t="shared" si="2"/>
        <v>-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e">
        <f t="shared" si="2"/>
        <v>#DIV/0!</v>
      </c>
      <c r="O19" s="11" t="str">
        <f t="shared" si="2"/>
        <v>-</v>
      </c>
      <c r="V19" s="7"/>
      <c r="W19" s="8"/>
      <c r="X19" s="8"/>
    </row>
    <row r="20" spans="1:24" ht="15" customHeight="1" x14ac:dyDescent="0.25">
      <c r="A20" s="248" t="s">
        <v>37</v>
      </c>
      <c r="B20" s="31" t="s">
        <v>144</v>
      </c>
      <c r="C20" s="3" t="e">
        <f>+C21</f>
        <v>#VALUE!</v>
      </c>
      <c r="D20" s="3" t="e">
        <f t="shared" ref="D20:N20" si="3">+D21</f>
        <v>#VALUE!</v>
      </c>
      <c r="E20" s="3" t="e">
        <f t="shared" si="3"/>
        <v>#VALUE!</v>
      </c>
      <c r="F20" s="3" t="e">
        <f t="shared" si="3"/>
        <v>#VALUE!</v>
      </c>
      <c r="G20" s="3" t="e">
        <f t="shared" si="3"/>
        <v>#VALUE!</v>
      </c>
      <c r="H20" s="3" t="e">
        <f t="shared" si="3"/>
        <v>#VALUE!</v>
      </c>
      <c r="I20" s="3" t="e">
        <f t="shared" si="3"/>
        <v>#VALUE!</v>
      </c>
      <c r="J20" s="3" t="e">
        <f t="shared" si="3"/>
        <v>#VALUE!</v>
      </c>
      <c r="K20" s="3" t="e">
        <f t="shared" si="3"/>
        <v>#VALUE!</v>
      </c>
      <c r="L20" s="3" t="e">
        <f t="shared" si="3"/>
        <v>#VALUE!</v>
      </c>
      <c r="M20" s="3" t="e">
        <f t="shared" si="3"/>
        <v>#VALUE!</v>
      </c>
      <c r="N20" s="3">
        <f t="shared" si="3"/>
        <v>0</v>
      </c>
      <c r="O20" s="16" t="e">
        <f>SUM(C20:N20)</f>
        <v>#VALUE!</v>
      </c>
      <c r="V20" s="7"/>
      <c r="W20" s="8"/>
      <c r="X20" s="8"/>
    </row>
    <row r="21" spans="1:24" ht="12.75" customHeight="1" x14ac:dyDescent="0.25">
      <c r="A21" s="248"/>
      <c r="B21" s="31" t="s">
        <v>138</v>
      </c>
      <c r="C21" s="3" t="e">
        <f>+'07'!C21</f>
        <v>#VALUE!</v>
      </c>
      <c r="D21" s="3" t="e">
        <f>+'07'!D21</f>
        <v>#VALUE!</v>
      </c>
      <c r="E21" s="3" t="e">
        <f>+'07'!E21</f>
        <v>#VALUE!</v>
      </c>
      <c r="F21" s="3" t="e">
        <f>+'07'!F21</f>
        <v>#VALUE!</v>
      </c>
      <c r="G21" s="3" t="e">
        <f>+'07'!G21</f>
        <v>#VALUE!</v>
      </c>
      <c r="H21" s="3" t="e">
        <f>+'07'!H21</f>
        <v>#VALUE!</v>
      </c>
      <c r="I21" s="3" t="e">
        <f>+'07'!I21</f>
        <v>#VALUE!</v>
      </c>
      <c r="J21" s="3" t="e">
        <f>+'07'!J21</f>
        <v>#VALUE!</v>
      </c>
      <c r="K21" s="3" t="e">
        <f>+'07'!K21</f>
        <v>#VALUE!</v>
      </c>
      <c r="L21" s="3" t="e">
        <f>+'07'!L21</f>
        <v>#VALUE!</v>
      </c>
      <c r="M21" s="3" t="e">
        <f>+'07'!M21</f>
        <v>#VALUE!</v>
      </c>
      <c r="N21" s="3">
        <f>+'07'!N21</f>
        <v>0</v>
      </c>
      <c r="O21" s="16" t="e">
        <f>SUM(C21:N21)</f>
        <v>#VALUE!</v>
      </c>
      <c r="V21" s="7"/>
      <c r="W21" s="8"/>
      <c r="X21" s="8"/>
    </row>
    <row r="22" spans="1:24" ht="12.75" customHeight="1" x14ac:dyDescent="0.25">
      <c r="A22" s="248"/>
      <c r="B22" s="7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49"/>
      <c r="B23" s="75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50" t="s">
        <v>34</v>
      </c>
      <c r="B24" s="251"/>
      <c r="C24" s="252"/>
      <c r="D24" s="239" t="str">
        <f>'SET SP Sta.Mría'!$G21</f>
        <v>Entre 91% y 100%</v>
      </c>
      <c r="E24" s="240"/>
      <c r="F24" s="240"/>
      <c r="G24" s="241"/>
      <c r="H24" s="239" t="str">
        <f>'SET SP Sta.Mría'!$H21</f>
        <v>Entre 71% y 90%</v>
      </c>
      <c r="I24" s="240"/>
      <c r="J24" s="240"/>
      <c r="K24" s="241"/>
      <c r="L24" s="239" t="str">
        <f>'SET SP Sta.Mría'!$I21</f>
        <v>Menor al 70%</v>
      </c>
      <c r="M24" s="244"/>
      <c r="N24" s="244"/>
      <c r="O24" s="245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64.75" customHeight="1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8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5" customHeight="1" x14ac:dyDescent="0.25">
      <c r="A29" s="165" t="s">
        <v>273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5" customHeight="1" x14ac:dyDescent="0.25">
      <c r="A30" s="165" t="s">
        <v>273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5" customHeight="1" x14ac:dyDescent="0.25">
      <c r="A31" s="165" t="s">
        <v>273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5" customHeight="1" x14ac:dyDescent="0.25">
      <c r="A32" s="165" t="s">
        <v>273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5" customHeight="1" x14ac:dyDescent="0.25">
      <c r="A33" s="165" t="s">
        <v>273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5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19.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15" x14ac:dyDescent="0.25">
      <c r="A42" s="165" t="s">
        <v>3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 t="s">
        <v>3</v>
      </c>
      <c r="O42" s="211"/>
    </row>
    <row r="43" spans="1:17" ht="15.75" thickBot="1" x14ac:dyDescent="0.3">
      <c r="A43" s="269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1"/>
    </row>
    <row r="44" spans="1:17" ht="5.25" customHeight="1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0.98</v>
      </c>
    </row>
    <row r="61" spans="17:17" x14ac:dyDescent="0.25">
      <c r="Q61" s="9">
        <v>1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31:M31"/>
    <mergeCell ref="N31:O31"/>
    <mergeCell ref="A32:M32"/>
    <mergeCell ref="N32:O32"/>
    <mergeCell ref="A33:M33"/>
    <mergeCell ref="N33:O33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4:M34"/>
    <mergeCell ref="N34:O34"/>
    <mergeCell ref="A35:M35"/>
    <mergeCell ref="N35:O35"/>
    <mergeCell ref="A36:M36"/>
    <mergeCell ref="N36:O36"/>
    <mergeCell ref="A40:M40"/>
    <mergeCell ref="N40:O40"/>
    <mergeCell ref="A37:M37"/>
    <mergeCell ref="N37:O37"/>
    <mergeCell ref="A38:M38"/>
    <mergeCell ref="N38:O38"/>
    <mergeCell ref="A39:M39"/>
    <mergeCell ref="N39:O39"/>
  </mergeCells>
  <dataValidations count="1">
    <dataValidation type="list" allowBlank="1" showInputMessage="1" showErrorMessage="1" sqref="J11:O11" xr:uid="{00000000-0002-0000-0E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278"/>
  <sheetViews>
    <sheetView showGridLines="0" workbookViewId="0">
      <selection activeCell="F40" sqref="F40"/>
    </sheetView>
  </sheetViews>
  <sheetFormatPr baseColWidth="10" defaultColWidth="11.42578125" defaultRowHeight="12.75" x14ac:dyDescent="0.2"/>
  <cols>
    <col min="1" max="1" width="2.7109375" style="63" customWidth="1"/>
    <col min="2" max="2" width="40.85546875" style="62" bestFit="1" customWidth="1"/>
    <col min="3" max="3" width="9.85546875" style="62" bestFit="1" customWidth="1"/>
    <col min="4" max="6" width="12.7109375" style="56" customWidth="1"/>
    <col min="7" max="7" width="11.28515625" style="56" customWidth="1"/>
    <col min="8" max="10" width="11.42578125" style="56" customWidth="1"/>
    <col min="11" max="15" width="11.42578125" style="56"/>
    <col min="16" max="16" width="14.85546875" style="56" bestFit="1" customWidth="1"/>
    <col min="17" max="16384" width="11.42578125" style="56"/>
  </cols>
  <sheetData>
    <row r="1" spans="1:21" ht="15.75" x14ac:dyDescent="0.25">
      <c r="A1" s="126" t="s">
        <v>181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21" ht="18" x14ac:dyDescent="0.25">
      <c r="A2" s="129" t="s">
        <v>275</v>
      </c>
      <c r="B2" s="130"/>
      <c r="C2" s="131"/>
      <c r="D2" s="131"/>
      <c r="E2" s="129" t="s">
        <v>250</v>
      </c>
      <c r="F2" s="130"/>
      <c r="G2" s="134" t="s">
        <v>182</v>
      </c>
      <c r="H2" s="134"/>
      <c r="I2" s="134"/>
      <c r="J2" s="134"/>
      <c r="K2" s="134"/>
      <c r="L2" s="134"/>
      <c r="M2" s="134"/>
      <c r="N2" s="134"/>
      <c r="O2" s="134"/>
    </row>
    <row r="4" spans="1:21" ht="25.5" customHeight="1" x14ac:dyDescent="0.2">
      <c r="A4" s="132" t="s">
        <v>183</v>
      </c>
      <c r="B4" s="133"/>
      <c r="C4" s="76" t="s">
        <v>184</v>
      </c>
      <c r="D4" s="77">
        <v>45658</v>
      </c>
      <c r="E4" s="77">
        <v>45689</v>
      </c>
      <c r="F4" s="77">
        <v>45717</v>
      </c>
      <c r="G4" s="77">
        <v>45748</v>
      </c>
      <c r="H4" s="77">
        <v>45778</v>
      </c>
      <c r="I4" s="77">
        <v>45809</v>
      </c>
      <c r="J4" s="77">
        <v>45839</v>
      </c>
      <c r="K4" s="77">
        <v>45870</v>
      </c>
      <c r="L4" s="77">
        <v>45901</v>
      </c>
      <c r="M4" s="77">
        <v>45931</v>
      </c>
      <c r="N4" s="77">
        <v>45962</v>
      </c>
      <c r="O4" s="77">
        <v>45992</v>
      </c>
      <c r="P4" s="95"/>
      <c r="Q4" s="95"/>
    </row>
    <row r="5" spans="1:21" x14ac:dyDescent="0.2">
      <c r="A5" s="78">
        <v>1</v>
      </c>
      <c r="B5" s="79" t="s">
        <v>185</v>
      </c>
      <c r="C5" s="80" t="s">
        <v>185</v>
      </c>
      <c r="D5" s="107"/>
      <c r="E5" s="107"/>
      <c r="F5" s="107"/>
      <c r="G5" s="108"/>
      <c r="H5" s="108"/>
      <c r="I5" s="108"/>
      <c r="J5" s="108"/>
      <c r="K5" s="108"/>
      <c r="L5" s="108"/>
      <c r="M5" s="108"/>
      <c r="N5" s="108"/>
      <c r="O5" s="108">
        <v>1271</v>
      </c>
      <c r="P5" s="95"/>
      <c r="Q5" s="104"/>
      <c r="R5" s="57"/>
    </row>
    <row r="6" spans="1:21" s="57" customFormat="1" x14ac:dyDescent="0.2">
      <c r="A6" s="69">
        <v>2</v>
      </c>
      <c r="B6" s="70" t="s">
        <v>186</v>
      </c>
      <c r="C6" s="81" t="s">
        <v>187</v>
      </c>
      <c r="D6" s="109">
        <v>1252</v>
      </c>
      <c r="E6" s="109">
        <v>1256</v>
      </c>
      <c r="F6" s="109">
        <v>1260</v>
      </c>
      <c r="G6" s="109">
        <v>1265</v>
      </c>
      <c r="H6" s="109"/>
      <c r="I6" s="109"/>
      <c r="J6" s="109"/>
      <c r="K6" s="109"/>
      <c r="L6" s="109"/>
      <c r="M6" s="109"/>
      <c r="N6" s="109"/>
      <c r="O6" s="109">
        <v>1270</v>
      </c>
      <c r="P6" s="104"/>
      <c r="Q6" s="119"/>
      <c r="R6" s="104"/>
    </row>
    <row r="7" spans="1:21" x14ac:dyDescent="0.2">
      <c r="A7" s="78">
        <v>3</v>
      </c>
      <c r="B7" s="79" t="s">
        <v>188</v>
      </c>
      <c r="C7" s="80" t="s">
        <v>187</v>
      </c>
      <c r="D7" s="108">
        <v>1155</v>
      </c>
      <c r="E7" s="108">
        <v>1158</v>
      </c>
      <c r="F7" s="109">
        <v>1162</v>
      </c>
      <c r="G7" s="108">
        <v>1166</v>
      </c>
      <c r="H7" s="108"/>
      <c r="I7" s="108"/>
      <c r="J7" s="108"/>
      <c r="K7" s="108"/>
      <c r="L7" s="108"/>
      <c r="M7" s="108"/>
      <c r="N7" s="108"/>
      <c r="O7" s="108">
        <v>1173</v>
      </c>
      <c r="P7" s="95"/>
      <c r="Q7" s="119"/>
      <c r="R7" s="57"/>
    </row>
    <row r="8" spans="1:21" x14ac:dyDescent="0.2">
      <c r="A8" s="69">
        <v>4</v>
      </c>
      <c r="B8" s="70" t="s">
        <v>189</v>
      </c>
      <c r="C8" s="81" t="s">
        <v>187</v>
      </c>
      <c r="D8" s="109">
        <v>1204</v>
      </c>
      <c r="E8" s="109">
        <v>1208</v>
      </c>
      <c r="F8" s="109">
        <v>1212</v>
      </c>
      <c r="G8" s="109">
        <v>1215</v>
      </c>
      <c r="H8" s="109"/>
      <c r="I8" s="109"/>
      <c r="J8" s="109"/>
      <c r="K8" s="109"/>
      <c r="L8" s="109"/>
      <c r="M8" s="109"/>
      <c r="N8" s="109"/>
      <c r="O8" s="109">
        <v>1204</v>
      </c>
      <c r="Q8" s="119"/>
      <c r="R8" s="57"/>
    </row>
    <row r="9" spans="1:21" ht="15" x14ac:dyDescent="0.25">
      <c r="A9" s="78">
        <v>5</v>
      </c>
      <c r="B9" s="79" t="s">
        <v>190</v>
      </c>
      <c r="C9" s="80" t="s">
        <v>191</v>
      </c>
      <c r="D9" s="108">
        <v>17235</v>
      </c>
      <c r="E9" s="108">
        <v>16436</v>
      </c>
      <c r="F9" s="107">
        <v>16127</v>
      </c>
      <c r="G9" s="110"/>
      <c r="H9" s="111"/>
      <c r="I9" s="118"/>
      <c r="J9" s="118"/>
      <c r="K9" s="118"/>
      <c r="L9" s="118"/>
      <c r="M9" s="118"/>
      <c r="N9" s="123"/>
      <c r="O9" s="112">
        <v>16931</v>
      </c>
      <c r="P9" s="95">
        <f>SUM(D9:O9)</f>
        <v>66729</v>
      </c>
      <c r="Q9" s="104"/>
      <c r="R9" s="57"/>
    </row>
    <row r="10" spans="1:21" x14ac:dyDescent="0.2">
      <c r="A10" s="69">
        <v>6</v>
      </c>
      <c r="B10" s="70" t="s">
        <v>192</v>
      </c>
      <c r="C10" s="81" t="s">
        <v>191</v>
      </c>
      <c r="D10" s="109">
        <f>12113+272</f>
        <v>12385</v>
      </c>
      <c r="E10" s="109">
        <f>17759+308</f>
        <v>18067</v>
      </c>
      <c r="F10" s="109">
        <f>13190+117</f>
        <v>13307</v>
      </c>
      <c r="G10" s="109">
        <f>13293+182</f>
        <v>13475</v>
      </c>
      <c r="H10" s="109"/>
      <c r="I10" s="109"/>
      <c r="J10" s="109"/>
      <c r="K10" s="109"/>
      <c r="L10" s="109"/>
      <c r="M10" s="109"/>
      <c r="N10" s="109"/>
      <c r="O10" s="109">
        <f>367+11900</f>
        <v>12267</v>
      </c>
      <c r="P10" s="95">
        <f>SUM(D10:O10)</f>
        <v>69501</v>
      </c>
    </row>
    <row r="11" spans="1:21" x14ac:dyDescent="0.2">
      <c r="A11" s="78">
        <v>7</v>
      </c>
      <c r="B11" s="79" t="s">
        <v>262</v>
      </c>
      <c r="C11" s="80" t="s">
        <v>193</v>
      </c>
      <c r="D11" s="108">
        <f>8272+1936+1083</f>
        <v>11291</v>
      </c>
      <c r="E11" s="108">
        <f>9613+3640+2807</f>
        <v>16060</v>
      </c>
      <c r="F11" s="108">
        <f>8483+2087+1676</f>
        <v>12246</v>
      </c>
      <c r="G11" s="108">
        <f>8612+2247+1697</f>
        <v>12556</v>
      </c>
      <c r="H11" s="108"/>
      <c r="I11" s="108"/>
      <c r="J11" s="108"/>
      <c r="K11" s="113"/>
      <c r="L11" s="113"/>
      <c r="M11" s="113"/>
      <c r="N11" s="113"/>
      <c r="O11" s="113">
        <f>8265+1916+1019</f>
        <v>11200</v>
      </c>
      <c r="P11" s="95">
        <f>SUM(D11:O11)</f>
        <v>63353</v>
      </c>
      <c r="Q11" s="106"/>
    </row>
    <row r="12" spans="1:21" hidden="1" x14ac:dyDescent="0.2">
      <c r="A12" s="69">
        <v>8</v>
      </c>
      <c r="B12" s="70" t="s">
        <v>194</v>
      </c>
      <c r="C12" s="81" t="s">
        <v>193</v>
      </c>
      <c r="D12" s="109"/>
      <c r="E12" s="109"/>
      <c r="F12" s="109"/>
      <c r="G12" s="109"/>
      <c r="H12" s="109"/>
      <c r="I12" s="109"/>
      <c r="J12" s="109"/>
      <c r="K12" s="114"/>
      <c r="L12" s="114"/>
      <c r="M12" s="114"/>
      <c r="N12" s="114"/>
      <c r="O12" s="114"/>
      <c r="P12" s="95"/>
    </row>
    <row r="13" spans="1:21" hidden="1" x14ac:dyDescent="0.2">
      <c r="A13" s="78">
        <v>9</v>
      </c>
      <c r="B13" s="79" t="s">
        <v>195</v>
      </c>
      <c r="C13" s="80" t="s">
        <v>193</v>
      </c>
      <c r="D13" s="108"/>
      <c r="E13" s="108"/>
      <c r="F13" s="108"/>
      <c r="G13" s="108"/>
      <c r="H13" s="108"/>
      <c r="I13" s="108"/>
      <c r="J13" s="108"/>
      <c r="K13" s="113"/>
      <c r="L13" s="113"/>
      <c r="M13" s="113"/>
      <c r="N13" s="113"/>
      <c r="O13" s="113"/>
      <c r="P13" s="95"/>
    </row>
    <row r="14" spans="1:21" x14ac:dyDescent="0.2">
      <c r="A14" s="69">
        <v>10</v>
      </c>
      <c r="B14" s="70" t="s">
        <v>196</v>
      </c>
      <c r="C14" s="81" t="s">
        <v>193</v>
      </c>
      <c r="D14" s="109">
        <f>5015624+9452067+155815+591800-70000-2233</f>
        <v>15143073</v>
      </c>
      <c r="E14" s="109">
        <f>5030896+15076656+145795+295801-136950-1442</f>
        <v>20410756</v>
      </c>
      <c r="F14" s="109">
        <f>5046832+10325014+161358+404219+59787-2308</f>
        <v>15994902</v>
      </c>
      <c r="G14" s="109">
        <f>5063432+10466788+142835+223999-2017</f>
        <v>15895037</v>
      </c>
      <c r="H14" s="109"/>
      <c r="I14" s="109"/>
      <c r="J14" s="109"/>
      <c r="K14" s="109"/>
      <c r="L14" s="109"/>
      <c r="M14" s="109"/>
      <c r="N14" s="109"/>
      <c r="O14" s="109">
        <f>5015624+9331632+156237+591800-2242</f>
        <v>15093051</v>
      </c>
      <c r="P14" s="105">
        <f>SUM(D14:O14)</f>
        <v>82536819</v>
      </c>
    </row>
    <row r="15" spans="1:21" x14ac:dyDescent="0.2">
      <c r="A15" s="78">
        <v>11</v>
      </c>
      <c r="B15" s="79" t="s">
        <v>197</v>
      </c>
      <c r="C15" s="80" t="s">
        <v>193</v>
      </c>
      <c r="D15" s="108">
        <f>206950+4189209+7711265+140289+542600-2141</f>
        <v>12788172</v>
      </c>
      <c r="E15" s="108">
        <f>4277241+11958834+142935+295801-1083</f>
        <v>16673728</v>
      </c>
      <c r="F15" s="108">
        <f>1064664+4150311+8459770+155215+330419+19929-1960</f>
        <v>14178348</v>
      </c>
      <c r="G15" s="108"/>
      <c r="H15" s="108"/>
      <c r="I15" s="108"/>
      <c r="J15" s="108"/>
      <c r="K15" s="108"/>
      <c r="L15" s="108"/>
      <c r="M15" s="108"/>
      <c r="N15" s="108"/>
      <c r="O15" s="108">
        <f>4186602+7758365+140711+542600-2151</f>
        <v>12626127</v>
      </c>
      <c r="P15" s="105">
        <f t="shared" ref="P15:P19" si="0">SUM(D15:O15)</f>
        <v>56266375</v>
      </c>
    </row>
    <row r="16" spans="1:21" x14ac:dyDescent="0.2">
      <c r="A16" s="69">
        <v>12</v>
      </c>
      <c r="B16" s="70" t="s">
        <v>198</v>
      </c>
      <c r="C16" s="81" t="s">
        <v>193</v>
      </c>
      <c r="D16" s="109">
        <f>3127481+5729395+392000</f>
        <v>9248876</v>
      </c>
      <c r="E16" s="109">
        <f>3135506+8876587+146999</f>
        <v>12159092</v>
      </c>
      <c r="F16" s="109">
        <f>3146206+6347922+267701</f>
        <v>9761829</v>
      </c>
      <c r="G16" s="109">
        <f>3155122+6517842+148324</f>
        <v>9821288</v>
      </c>
      <c r="H16" s="109"/>
      <c r="I16" s="109"/>
      <c r="J16" s="109"/>
      <c r="K16" s="109"/>
      <c r="L16" s="109"/>
      <c r="M16" s="109"/>
      <c r="N16" s="109"/>
      <c r="O16" s="109">
        <f>3127481+5668517+392000</f>
        <v>9187998</v>
      </c>
      <c r="P16" s="105">
        <f t="shared" si="0"/>
        <v>50179083</v>
      </c>
      <c r="Q16" s="95"/>
      <c r="R16" s="95"/>
      <c r="S16" s="95"/>
      <c r="T16" s="95"/>
      <c r="U16" s="95"/>
    </row>
    <row r="17" spans="1:21" x14ac:dyDescent="0.2">
      <c r="A17" s="78">
        <v>13</v>
      </c>
      <c r="B17" s="79" t="s">
        <v>199</v>
      </c>
      <c r="C17" s="80" t="s">
        <v>193</v>
      </c>
      <c r="D17" s="108">
        <f>2620351+4656047+359400</f>
        <v>7635798</v>
      </c>
      <c r="E17" s="108">
        <f>2675411+7242834+146999</f>
        <v>10065244</v>
      </c>
      <c r="F17" s="108">
        <f>2598507+5250271+218801</f>
        <v>8067579</v>
      </c>
      <c r="G17" s="108"/>
      <c r="H17" s="108"/>
      <c r="I17" s="108"/>
      <c r="J17" s="108"/>
      <c r="K17" s="108"/>
      <c r="L17" s="108"/>
      <c r="M17" s="108"/>
      <c r="N17" s="108"/>
      <c r="O17" s="108">
        <f>2618568+4687417+359400</f>
        <v>7665385</v>
      </c>
      <c r="P17" s="105">
        <f t="shared" si="0"/>
        <v>33434006</v>
      </c>
    </row>
    <row r="18" spans="1:21" x14ac:dyDescent="0.2">
      <c r="A18" s="69">
        <v>14</v>
      </c>
      <c r="B18" s="70" t="s">
        <v>200</v>
      </c>
      <c r="C18" s="81" t="s">
        <v>193</v>
      </c>
      <c r="D18" s="109">
        <v>13295114</v>
      </c>
      <c r="E18" s="109">
        <v>13311701</v>
      </c>
      <c r="F18" s="109">
        <v>13354920</v>
      </c>
      <c r="G18" s="109">
        <v>13381764</v>
      </c>
      <c r="H18" s="109"/>
      <c r="I18" s="109"/>
      <c r="J18" s="109"/>
      <c r="K18" s="109"/>
      <c r="L18" s="109"/>
      <c r="M18" s="109"/>
      <c r="N18" s="109"/>
      <c r="O18" s="109">
        <v>13295114</v>
      </c>
      <c r="P18" s="105">
        <f t="shared" si="0"/>
        <v>66638613</v>
      </c>
    </row>
    <row r="19" spans="1:21" x14ac:dyDescent="0.2">
      <c r="A19" s="78">
        <v>15</v>
      </c>
      <c r="B19" s="79" t="s">
        <v>201</v>
      </c>
      <c r="C19" s="80" t="s">
        <v>193</v>
      </c>
      <c r="D19" s="108">
        <v>11112422</v>
      </c>
      <c r="E19" s="108">
        <v>11502064</v>
      </c>
      <c r="F19" s="108">
        <v>11052698</v>
      </c>
      <c r="G19" s="108"/>
      <c r="H19" s="108"/>
      <c r="I19" s="108"/>
      <c r="J19" s="108"/>
      <c r="K19" s="108"/>
      <c r="L19" s="108"/>
      <c r="M19" s="108"/>
      <c r="N19" s="108"/>
      <c r="O19" s="108">
        <v>11078752</v>
      </c>
      <c r="P19" s="105">
        <f t="shared" si="0"/>
        <v>44745936</v>
      </c>
    </row>
    <row r="20" spans="1:21" x14ac:dyDescent="0.2">
      <c r="A20" s="69">
        <v>16</v>
      </c>
      <c r="B20" s="70" t="s">
        <v>202</v>
      </c>
      <c r="C20" s="81" t="s">
        <v>193</v>
      </c>
      <c r="D20" s="109">
        <f>1116198+2027418+26963+24700+17080+19929-117700-164</f>
        <v>3114424</v>
      </c>
      <c r="E20" s="109">
        <f>1010623+1948809+23143+49200-135000-70000+74</f>
        <v>2826849</v>
      </c>
      <c r="F20" s="109">
        <f>830674+3170444+12164-106650-268</f>
        <v>3906364</v>
      </c>
      <c r="G20" s="109">
        <f>969783+1895152+17674+73800+39858-1003780-180</f>
        <v>1992307</v>
      </c>
      <c r="H20" s="109"/>
      <c r="I20" s="109"/>
      <c r="J20" s="109"/>
      <c r="K20" s="109"/>
      <c r="L20" s="109"/>
      <c r="M20" s="109"/>
      <c r="N20" s="109"/>
      <c r="O20" s="109">
        <f>1120182+2029354+26963+24700+17080+19929-117650-185</f>
        <v>3120373</v>
      </c>
    </row>
    <row r="21" spans="1:21" x14ac:dyDescent="0.2">
      <c r="A21" s="78">
        <v>17</v>
      </c>
      <c r="B21" s="79" t="s">
        <v>203</v>
      </c>
      <c r="C21" s="80" t="s">
        <v>193</v>
      </c>
      <c r="D21" s="108">
        <f>939908+1840272+20173+24700+17080+19929-53050-87</f>
        <v>2808925</v>
      </c>
      <c r="E21" s="108">
        <f>933604+1788995+14196+49200-64600-70000+11</f>
        <v>2651406</v>
      </c>
      <c r="F21" s="108">
        <f>729904+3006309+126-783350-371</f>
        <v>2952618</v>
      </c>
      <c r="G21" s="108"/>
      <c r="H21" s="108"/>
      <c r="I21" s="108"/>
      <c r="J21" s="108"/>
      <c r="K21" s="108"/>
      <c r="L21" s="108"/>
      <c r="M21" s="108"/>
      <c r="N21" s="108"/>
      <c r="O21" s="108">
        <f>943520+1842208+20173+24700+17080+19929-53100-108</f>
        <v>2814402</v>
      </c>
      <c r="P21" s="95"/>
      <c r="Q21" s="95"/>
    </row>
    <row r="22" spans="1:21" x14ac:dyDescent="0.2">
      <c r="A22" s="69">
        <v>18</v>
      </c>
      <c r="B22" s="70" t="s">
        <v>204</v>
      </c>
      <c r="C22" s="81" t="s">
        <v>193</v>
      </c>
      <c r="D22" s="109">
        <f>666513+1256100+16333</f>
        <v>1938946</v>
      </c>
      <c r="E22" s="109">
        <f>584036+1170253+32600</f>
        <v>1786889</v>
      </c>
      <c r="F22" s="109">
        <f>462770+1626448</f>
        <v>2089218</v>
      </c>
      <c r="G22" s="109">
        <f>558845+1097134+48900</f>
        <v>1704879</v>
      </c>
      <c r="H22" s="109"/>
      <c r="I22" s="109"/>
      <c r="J22" s="109"/>
      <c r="K22" s="109"/>
      <c r="L22" s="109"/>
      <c r="M22" s="109"/>
      <c r="N22" s="109"/>
      <c r="O22" s="109">
        <f>669188+1257389+16333</f>
        <v>1942910</v>
      </c>
      <c r="P22" s="95"/>
    </row>
    <row r="23" spans="1:21" x14ac:dyDescent="0.2">
      <c r="A23" s="78">
        <v>19</v>
      </c>
      <c r="B23" s="79" t="s">
        <v>205</v>
      </c>
      <c r="C23" s="80" t="s">
        <v>193</v>
      </c>
      <c r="D23" s="108">
        <f>594957+1173089+16333</f>
        <v>1784379</v>
      </c>
      <c r="E23" s="108">
        <f>584036+1170253+32600</f>
        <v>1786889</v>
      </c>
      <c r="F23" s="108">
        <f>449841+1586763</f>
        <v>2036604</v>
      </c>
      <c r="G23" s="108"/>
      <c r="H23" s="108"/>
      <c r="I23" s="108"/>
      <c r="J23" s="108"/>
      <c r="K23" s="108"/>
      <c r="L23" s="108"/>
      <c r="M23" s="108"/>
      <c r="N23" s="108"/>
      <c r="O23" s="108">
        <f>597632+1174378+16333</f>
        <v>1788343</v>
      </c>
      <c r="P23" s="95">
        <v>16</v>
      </c>
      <c r="Q23" s="95"/>
    </row>
    <row r="24" spans="1:21" x14ac:dyDescent="0.2">
      <c r="A24" s="69">
        <v>20</v>
      </c>
      <c r="B24" s="70" t="s">
        <v>206</v>
      </c>
      <c r="C24" s="81" t="s">
        <v>193</v>
      </c>
      <c r="D24" s="109">
        <v>2505338</v>
      </c>
      <c r="E24" s="109">
        <v>2443383</v>
      </c>
      <c r="F24" s="109">
        <v>1823188</v>
      </c>
      <c r="G24" s="109">
        <v>2331185</v>
      </c>
      <c r="H24" s="109"/>
      <c r="I24" s="109"/>
      <c r="J24" s="109"/>
      <c r="K24" s="109"/>
      <c r="L24" s="109"/>
      <c r="M24" s="109"/>
      <c r="N24" s="109"/>
      <c r="O24" s="109">
        <v>2516075</v>
      </c>
      <c r="P24" s="95">
        <f>+P23*1.75</f>
        <v>28</v>
      </c>
      <c r="Q24" s="95"/>
      <c r="R24" s="95"/>
      <c r="S24" s="95"/>
      <c r="T24" s="95"/>
      <c r="U24" s="95"/>
    </row>
    <row r="25" spans="1:21" x14ac:dyDescent="0.2">
      <c r="A25" s="78">
        <v>21</v>
      </c>
      <c r="B25" s="79" t="s">
        <v>207</v>
      </c>
      <c r="C25" s="80" t="s">
        <v>193</v>
      </c>
      <c r="D25" s="108">
        <v>2265904</v>
      </c>
      <c r="E25" s="108">
        <v>2440569</v>
      </c>
      <c r="F25" s="108">
        <v>1797803</v>
      </c>
      <c r="G25" s="108"/>
      <c r="H25" s="108"/>
      <c r="I25" s="108"/>
      <c r="J25" s="108"/>
      <c r="K25" s="108"/>
      <c r="L25" s="108"/>
      <c r="M25" s="108"/>
      <c r="N25" s="108"/>
      <c r="O25" s="108">
        <v>2276641</v>
      </c>
    </row>
    <row r="26" spans="1:21" x14ac:dyDescent="0.2">
      <c r="A26" s="69">
        <v>22</v>
      </c>
      <c r="B26" s="70" t="s">
        <v>208</v>
      </c>
      <c r="C26" s="81" t="s">
        <v>193</v>
      </c>
      <c r="D26" s="97">
        <f t="shared" ref="D26:O31" si="1">+D14+D20</f>
        <v>18257497</v>
      </c>
      <c r="E26" s="97">
        <f t="shared" si="1"/>
        <v>23237605</v>
      </c>
      <c r="F26" s="97">
        <f t="shared" si="1"/>
        <v>19901266</v>
      </c>
      <c r="G26" s="97">
        <f t="shared" ref="G26" si="2">+G14+G20</f>
        <v>17887344</v>
      </c>
      <c r="H26" s="97">
        <f t="shared" si="1"/>
        <v>0</v>
      </c>
      <c r="I26" s="97">
        <f t="shared" si="1"/>
        <v>0</v>
      </c>
      <c r="J26" s="97">
        <f t="shared" ref="J26" si="3">+J14+J20</f>
        <v>0</v>
      </c>
      <c r="K26" s="97">
        <f t="shared" si="1"/>
        <v>0</v>
      </c>
      <c r="L26" s="97">
        <f t="shared" ref="L26" si="4">+L14+L20</f>
        <v>0</v>
      </c>
      <c r="M26" s="97">
        <f t="shared" si="1"/>
        <v>0</v>
      </c>
      <c r="N26" s="97">
        <f t="shared" si="1"/>
        <v>0</v>
      </c>
      <c r="O26" s="97">
        <f t="shared" si="1"/>
        <v>18213424</v>
      </c>
    </row>
    <row r="27" spans="1:21" x14ac:dyDescent="0.2">
      <c r="A27" s="78">
        <v>23</v>
      </c>
      <c r="B27" s="79" t="s">
        <v>209</v>
      </c>
      <c r="C27" s="80" t="s">
        <v>193</v>
      </c>
      <c r="D27" s="97">
        <f>+D15+D21</f>
        <v>15597097</v>
      </c>
      <c r="E27" s="97">
        <f>+E15+E21</f>
        <v>19325134</v>
      </c>
      <c r="F27" s="97">
        <f t="shared" si="1"/>
        <v>17130966</v>
      </c>
      <c r="G27" s="97">
        <f t="shared" ref="G27" si="5">+G15+G21</f>
        <v>0</v>
      </c>
      <c r="H27" s="97">
        <f t="shared" si="1"/>
        <v>0</v>
      </c>
      <c r="I27" s="97">
        <f t="shared" si="1"/>
        <v>0</v>
      </c>
      <c r="J27" s="97">
        <f t="shared" ref="J27" si="6">+J15+J21</f>
        <v>0</v>
      </c>
      <c r="K27" s="97">
        <f t="shared" si="1"/>
        <v>0</v>
      </c>
      <c r="L27" s="97">
        <f t="shared" ref="L27" si="7">+L15+L21</f>
        <v>0</v>
      </c>
      <c r="M27" s="97">
        <f t="shared" si="1"/>
        <v>0</v>
      </c>
      <c r="N27" s="97">
        <f t="shared" si="1"/>
        <v>0</v>
      </c>
      <c r="O27" s="97">
        <f t="shared" si="1"/>
        <v>15440529</v>
      </c>
    </row>
    <row r="28" spans="1:21" x14ac:dyDescent="0.2">
      <c r="A28" s="69">
        <v>24</v>
      </c>
      <c r="B28" s="70" t="s">
        <v>210</v>
      </c>
      <c r="C28" s="81" t="s">
        <v>193</v>
      </c>
      <c r="D28" s="97">
        <f t="shared" si="1"/>
        <v>11187822</v>
      </c>
      <c r="E28" s="97">
        <f>+E16+E22</f>
        <v>13945981</v>
      </c>
      <c r="F28" s="97">
        <f t="shared" si="1"/>
        <v>11851047</v>
      </c>
      <c r="G28" s="97">
        <f t="shared" ref="G28" si="8">+G16+G22</f>
        <v>11526167</v>
      </c>
      <c r="H28" s="97">
        <f t="shared" si="1"/>
        <v>0</v>
      </c>
      <c r="I28" s="97">
        <f t="shared" si="1"/>
        <v>0</v>
      </c>
      <c r="J28" s="97">
        <f t="shared" ref="J28" si="9">+J16+J22</f>
        <v>0</v>
      </c>
      <c r="K28" s="97">
        <f t="shared" si="1"/>
        <v>0</v>
      </c>
      <c r="L28" s="97">
        <f t="shared" ref="L28" si="10">+L16+L22</f>
        <v>0</v>
      </c>
      <c r="M28" s="97">
        <f t="shared" si="1"/>
        <v>0</v>
      </c>
      <c r="N28" s="97">
        <f t="shared" si="1"/>
        <v>0</v>
      </c>
      <c r="O28" s="97">
        <f t="shared" si="1"/>
        <v>11130908</v>
      </c>
    </row>
    <row r="29" spans="1:21" x14ac:dyDescent="0.2">
      <c r="A29" s="78">
        <v>25</v>
      </c>
      <c r="B29" s="79" t="s">
        <v>211</v>
      </c>
      <c r="C29" s="80" t="s">
        <v>193</v>
      </c>
      <c r="D29" s="97">
        <f t="shared" si="1"/>
        <v>9420177</v>
      </c>
      <c r="E29" s="97">
        <f>+E17+E23</f>
        <v>11852133</v>
      </c>
      <c r="F29" s="97">
        <f t="shared" si="1"/>
        <v>10104183</v>
      </c>
      <c r="G29" s="97">
        <f t="shared" ref="G29" si="11">+G17+G23</f>
        <v>0</v>
      </c>
      <c r="H29" s="97">
        <f t="shared" si="1"/>
        <v>0</v>
      </c>
      <c r="I29" s="97">
        <f t="shared" si="1"/>
        <v>0</v>
      </c>
      <c r="J29" s="97">
        <f t="shared" ref="J29" si="12">+J17+J23</f>
        <v>0</v>
      </c>
      <c r="K29" s="97">
        <f t="shared" si="1"/>
        <v>0</v>
      </c>
      <c r="L29" s="97">
        <f t="shared" ref="L29" si="13">+L17+L23</f>
        <v>0</v>
      </c>
      <c r="M29" s="97">
        <f t="shared" si="1"/>
        <v>0</v>
      </c>
      <c r="N29" s="97">
        <f t="shared" si="1"/>
        <v>0</v>
      </c>
      <c r="O29" s="97">
        <f t="shared" si="1"/>
        <v>9453728</v>
      </c>
    </row>
    <row r="30" spans="1:21" x14ac:dyDescent="0.2">
      <c r="A30" s="69">
        <v>26</v>
      </c>
      <c r="B30" s="70" t="s">
        <v>212</v>
      </c>
      <c r="C30" s="81" t="s">
        <v>193</v>
      </c>
      <c r="D30" s="97">
        <f t="shared" si="1"/>
        <v>15800452</v>
      </c>
      <c r="E30" s="97">
        <f t="shared" si="1"/>
        <v>15755084</v>
      </c>
      <c r="F30" s="97">
        <f t="shared" si="1"/>
        <v>15178108</v>
      </c>
      <c r="G30" s="97">
        <f t="shared" ref="G30" si="14">+G18+G24</f>
        <v>15712949</v>
      </c>
      <c r="H30" s="97">
        <f t="shared" si="1"/>
        <v>0</v>
      </c>
      <c r="I30" s="97">
        <f t="shared" si="1"/>
        <v>0</v>
      </c>
      <c r="J30" s="97">
        <f t="shared" ref="J30" si="15">+J18+J24</f>
        <v>0</v>
      </c>
      <c r="K30" s="97">
        <f t="shared" si="1"/>
        <v>0</v>
      </c>
      <c r="L30" s="97">
        <f t="shared" ref="L30" si="16">+L18+L24</f>
        <v>0</v>
      </c>
      <c r="M30" s="97">
        <f t="shared" si="1"/>
        <v>0</v>
      </c>
      <c r="N30" s="97">
        <f t="shared" si="1"/>
        <v>0</v>
      </c>
      <c r="O30" s="97">
        <f t="shared" si="1"/>
        <v>15811189</v>
      </c>
    </row>
    <row r="31" spans="1:21" x14ac:dyDescent="0.2">
      <c r="A31" s="78">
        <v>27</v>
      </c>
      <c r="B31" s="79" t="s">
        <v>213</v>
      </c>
      <c r="C31" s="80" t="s">
        <v>193</v>
      </c>
      <c r="D31" s="97">
        <f t="shared" si="1"/>
        <v>13378326</v>
      </c>
      <c r="E31" s="97">
        <f>+E19+E25</f>
        <v>13942633</v>
      </c>
      <c r="F31" s="97">
        <f t="shared" si="1"/>
        <v>12850501</v>
      </c>
      <c r="G31" s="97">
        <f t="shared" ref="G31" si="17">+G19+G25</f>
        <v>0</v>
      </c>
      <c r="H31" s="97">
        <f t="shared" si="1"/>
        <v>0</v>
      </c>
      <c r="I31" s="97">
        <f t="shared" si="1"/>
        <v>0</v>
      </c>
      <c r="J31" s="97">
        <f t="shared" ref="J31" si="18">+J19+J25</f>
        <v>0</v>
      </c>
      <c r="K31" s="97">
        <f t="shared" si="1"/>
        <v>0</v>
      </c>
      <c r="L31" s="97">
        <f t="shared" ref="L31" si="19">+L19+L25</f>
        <v>0</v>
      </c>
      <c r="M31" s="97">
        <f t="shared" si="1"/>
        <v>0</v>
      </c>
      <c r="N31" s="97">
        <f t="shared" si="1"/>
        <v>0</v>
      </c>
      <c r="O31" s="97">
        <f t="shared" si="1"/>
        <v>13355393</v>
      </c>
    </row>
    <row r="32" spans="1:21" x14ac:dyDescent="0.2">
      <c r="A32" s="69">
        <v>28</v>
      </c>
      <c r="B32" s="70" t="s">
        <v>214</v>
      </c>
      <c r="C32" s="81" t="s">
        <v>193</v>
      </c>
      <c r="D32" s="116">
        <f t="shared" ref="D32:O33" si="20">+D26+D28+D30</f>
        <v>45245771</v>
      </c>
      <c r="E32" s="116">
        <f>+E26+E28+E30</f>
        <v>52938670</v>
      </c>
      <c r="F32" s="116">
        <f t="shared" si="20"/>
        <v>46930421</v>
      </c>
      <c r="G32" s="116">
        <f t="shared" ref="G32" si="21">+G26+G28+G30</f>
        <v>45126460</v>
      </c>
      <c r="H32" s="116">
        <f t="shared" si="20"/>
        <v>0</v>
      </c>
      <c r="I32" s="116">
        <f t="shared" si="20"/>
        <v>0</v>
      </c>
      <c r="J32" s="116">
        <f t="shared" ref="J32" si="22">+J26+J28+J30</f>
        <v>0</v>
      </c>
      <c r="K32" s="116">
        <f t="shared" si="20"/>
        <v>0</v>
      </c>
      <c r="L32" s="116">
        <f>+L26+L28+L30</f>
        <v>0</v>
      </c>
      <c r="M32" s="116">
        <f t="shared" si="20"/>
        <v>0</v>
      </c>
      <c r="N32" s="97">
        <f t="shared" si="20"/>
        <v>0</v>
      </c>
      <c r="O32" s="97">
        <f t="shared" si="20"/>
        <v>45155521</v>
      </c>
      <c r="P32" s="95">
        <v>47204008</v>
      </c>
      <c r="Q32" s="95">
        <f>+N32-P32</f>
        <v>-47204008</v>
      </c>
    </row>
    <row r="33" spans="1:21" x14ac:dyDescent="0.2">
      <c r="A33" s="78">
        <v>29</v>
      </c>
      <c r="B33" s="79" t="s">
        <v>215</v>
      </c>
      <c r="C33" s="80" t="s">
        <v>193</v>
      </c>
      <c r="D33" s="116">
        <f t="shared" si="20"/>
        <v>38395600</v>
      </c>
      <c r="E33" s="116">
        <f>+E27+E29+E31</f>
        <v>45119900</v>
      </c>
      <c r="F33" s="116">
        <f>+F27+F29+F31</f>
        <v>40085650</v>
      </c>
      <c r="G33" s="116">
        <f>+G27+G29+G31</f>
        <v>0</v>
      </c>
      <c r="H33" s="116">
        <f t="shared" si="20"/>
        <v>0</v>
      </c>
      <c r="I33" s="116">
        <f t="shared" si="20"/>
        <v>0</v>
      </c>
      <c r="J33" s="116">
        <f t="shared" ref="J33" si="23">+J27+J29+J31</f>
        <v>0</v>
      </c>
      <c r="K33" s="116">
        <f t="shared" ref="K33:O33" si="24">+K31+K29+K27</f>
        <v>0</v>
      </c>
      <c r="L33" s="116">
        <f t="shared" si="24"/>
        <v>0</v>
      </c>
      <c r="M33" s="116">
        <f t="shared" si="24"/>
        <v>0</v>
      </c>
      <c r="N33" s="97">
        <f t="shared" si="24"/>
        <v>0</v>
      </c>
      <c r="O33" s="97">
        <f t="shared" si="24"/>
        <v>38249650</v>
      </c>
      <c r="P33" s="95"/>
      <c r="Q33" s="95"/>
    </row>
    <row r="34" spans="1:21" x14ac:dyDescent="0.2">
      <c r="A34" s="69">
        <v>30</v>
      </c>
      <c r="B34" s="70" t="s">
        <v>216</v>
      </c>
      <c r="C34" s="81" t="s">
        <v>217</v>
      </c>
      <c r="D34" s="82"/>
      <c r="E34" s="82"/>
      <c r="F34" s="82"/>
      <c r="G34" s="82"/>
      <c r="H34" s="82"/>
      <c r="I34" s="82"/>
      <c r="J34" s="72"/>
      <c r="K34" s="72"/>
      <c r="L34" s="72"/>
      <c r="M34" s="72"/>
      <c r="N34" s="72"/>
      <c r="O34" s="72"/>
      <c r="P34" s="95"/>
    </row>
    <row r="35" spans="1:21" x14ac:dyDescent="0.2">
      <c r="A35" s="78">
        <v>31</v>
      </c>
      <c r="B35" s="79" t="s">
        <v>218</v>
      </c>
      <c r="C35" s="80" t="s">
        <v>217</v>
      </c>
      <c r="D35" s="103"/>
      <c r="E35" s="103"/>
      <c r="F35" s="103"/>
      <c r="G35" s="103"/>
      <c r="H35" s="103"/>
      <c r="I35" s="103"/>
      <c r="J35" s="84"/>
      <c r="K35" s="84"/>
      <c r="L35" s="84"/>
      <c r="M35" s="84"/>
      <c r="N35" s="84"/>
      <c r="O35" s="84"/>
      <c r="Q35" s="95"/>
    </row>
    <row r="36" spans="1:21" x14ac:dyDescent="0.2">
      <c r="A36" s="69">
        <v>32</v>
      </c>
      <c r="B36" s="70" t="s">
        <v>219</v>
      </c>
      <c r="C36" s="81"/>
      <c r="D36" s="82"/>
      <c r="E36" s="120"/>
      <c r="F36" s="121"/>
      <c r="G36" s="82"/>
      <c r="H36" s="82"/>
      <c r="I36" s="120"/>
      <c r="J36" s="122"/>
      <c r="K36" s="72"/>
      <c r="L36" s="72"/>
      <c r="M36" s="72"/>
      <c r="N36" s="122"/>
      <c r="O36" s="72"/>
    </row>
    <row r="37" spans="1:21" x14ac:dyDescent="0.2">
      <c r="A37" s="78">
        <v>33</v>
      </c>
      <c r="B37" s="79" t="s">
        <v>133</v>
      </c>
      <c r="C37" s="80"/>
      <c r="D37" s="98">
        <f>+D32-D33</f>
        <v>6850171</v>
      </c>
      <c r="E37" s="98">
        <f t="shared" ref="E37:H37" si="25">+E32-E33</f>
        <v>7818770</v>
      </c>
      <c r="F37" s="98">
        <f t="shared" si="25"/>
        <v>6844771</v>
      </c>
      <c r="G37" s="98">
        <f t="shared" si="25"/>
        <v>45126460</v>
      </c>
      <c r="H37" s="98">
        <f t="shared" si="25"/>
        <v>0</v>
      </c>
      <c r="I37" s="98">
        <f t="shared" ref="I37:O37" si="26">+I32-I33</f>
        <v>0</v>
      </c>
      <c r="J37" s="98">
        <f t="shared" si="26"/>
        <v>0</v>
      </c>
      <c r="K37" s="98">
        <f t="shared" si="26"/>
        <v>0</v>
      </c>
      <c r="L37" s="98">
        <f t="shared" si="26"/>
        <v>0</v>
      </c>
      <c r="M37" s="98">
        <f t="shared" si="26"/>
        <v>0</v>
      </c>
      <c r="N37" s="98">
        <f t="shared" si="26"/>
        <v>0</v>
      </c>
      <c r="O37" s="98">
        <f t="shared" si="26"/>
        <v>6905871</v>
      </c>
      <c r="Q37" s="95"/>
    </row>
    <row r="38" spans="1:21" x14ac:dyDescent="0.2">
      <c r="A38" s="69">
        <v>34</v>
      </c>
      <c r="B38" s="70" t="s">
        <v>139</v>
      </c>
      <c r="C38" s="81"/>
      <c r="D38" s="115">
        <v>1234</v>
      </c>
      <c r="E38" s="115">
        <v>1244</v>
      </c>
      <c r="F38" s="117">
        <v>1249</v>
      </c>
      <c r="G38" s="117">
        <v>1249</v>
      </c>
      <c r="H38" s="82"/>
      <c r="I38" s="82"/>
      <c r="J38" s="82"/>
      <c r="K38" s="72"/>
      <c r="L38" s="83"/>
      <c r="M38" s="72"/>
      <c r="N38" s="72"/>
      <c r="O38" s="72"/>
      <c r="P38" s="125">
        <f>+O38/O6</f>
        <v>0</v>
      </c>
    </row>
    <row r="39" spans="1:21" x14ac:dyDescent="0.2">
      <c r="A39" s="78">
        <v>35</v>
      </c>
      <c r="B39" s="79" t="s">
        <v>259</v>
      </c>
      <c r="C39" s="80"/>
      <c r="D39" s="83"/>
      <c r="E39" s="83"/>
      <c r="F39" s="83"/>
      <c r="G39" s="83"/>
      <c r="H39" s="83"/>
      <c r="I39" s="83"/>
      <c r="J39" s="83"/>
      <c r="K39" s="83"/>
      <c r="M39" s="83"/>
      <c r="N39" s="83"/>
      <c r="O39" s="83"/>
    </row>
    <row r="40" spans="1:21" x14ac:dyDescent="0.2">
      <c r="A40" s="69">
        <v>36</v>
      </c>
      <c r="B40" s="70" t="s">
        <v>260</v>
      </c>
      <c r="C40" s="81"/>
      <c r="D40" s="82">
        <v>0</v>
      </c>
      <c r="E40" s="82">
        <v>3</v>
      </c>
      <c r="F40" s="82"/>
      <c r="G40" s="82"/>
      <c r="H40" s="82"/>
      <c r="I40" s="82"/>
      <c r="J40" s="72"/>
      <c r="K40" s="72"/>
      <c r="L40" s="72"/>
      <c r="M40" s="72"/>
      <c r="N40" s="72"/>
      <c r="O40" s="72"/>
    </row>
    <row r="41" spans="1:21" x14ac:dyDescent="0.2">
      <c r="A41" s="64"/>
      <c r="C41" s="63"/>
      <c r="D41" s="65"/>
      <c r="E41" s="65"/>
      <c r="F41" s="65"/>
      <c r="G41" s="65"/>
      <c r="H41" s="65"/>
      <c r="I41" s="65"/>
      <c r="J41" s="66"/>
      <c r="K41" s="66"/>
      <c r="L41" s="66"/>
      <c r="M41" s="66"/>
      <c r="N41" s="66"/>
      <c r="O41" s="66"/>
    </row>
    <row r="42" spans="1:21" x14ac:dyDescent="0.2">
      <c r="A42" s="78"/>
      <c r="B42" s="79"/>
      <c r="C42" s="80"/>
      <c r="D42" s="85">
        <f>+D4</f>
        <v>45658</v>
      </c>
      <c r="E42" s="85">
        <f t="shared" ref="E42:O42" si="27">+E4</f>
        <v>45689</v>
      </c>
      <c r="F42" s="85">
        <f t="shared" si="27"/>
        <v>45717</v>
      </c>
      <c r="G42" s="85">
        <f t="shared" si="27"/>
        <v>45748</v>
      </c>
      <c r="H42" s="85">
        <f t="shared" si="27"/>
        <v>45778</v>
      </c>
      <c r="I42" s="85">
        <f t="shared" si="27"/>
        <v>45809</v>
      </c>
      <c r="J42" s="85">
        <f t="shared" si="27"/>
        <v>45839</v>
      </c>
      <c r="K42" s="85">
        <f t="shared" si="27"/>
        <v>45870</v>
      </c>
      <c r="L42" s="85">
        <f t="shared" si="27"/>
        <v>45901</v>
      </c>
      <c r="M42" s="85">
        <f t="shared" si="27"/>
        <v>45931</v>
      </c>
      <c r="N42" s="85">
        <f t="shared" si="27"/>
        <v>45962</v>
      </c>
      <c r="O42" s="85">
        <f t="shared" si="27"/>
        <v>45992</v>
      </c>
    </row>
    <row r="43" spans="1:21" x14ac:dyDescent="0.2">
      <c r="A43" s="69"/>
      <c r="B43" s="70" t="s">
        <v>220</v>
      </c>
      <c r="C43" s="81"/>
      <c r="D43" s="99">
        <f>+D14+D16+D18</f>
        <v>37687063</v>
      </c>
      <c r="E43" s="99">
        <f t="shared" ref="D43:O44" si="28">+E14+E16+E18</f>
        <v>45881549</v>
      </c>
      <c r="F43" s="99">
        <f t="shared" si="28"/>
        <v>39111651</v>
      </c>
      <c r="G43" s="99">
        <f t="shared" si="28"/>
        <v>39098089</v>
      </c>
      <c r="H43" s="99">
        <f t="shared" si="28"/>
        <v>0</v>
      </c>
      <c r="I43" s="99">
        <f t="shared" si="28"/>
        <v>0</v>
      </c>
      <c r="J43" s="99">
        <f t="shared" si="28"/>
        <v>0</v>
      </c>
      <c r="K43" s="99">
        <f t="shared" si="28"/>
        <v>0</v>
      </c>
      <c r="L43" s="99">
        <f t="shared" si="28"/>
        <v>0</v>
      </c>
      <c r="M43" s="99">
        <f t="shared" si="28"/>
        <v>0</v>
      </c>
      <c r="N43" s="99">
        <f t="shared" si="28"/>
        <v>0</v>
      </c>
      <c r="O43" s="99">
        <f t="shared" si="28"/>
        <v>37576163</v>
      </c>
    </row>
    <row r="44" spans="1:21" x14ac:dyDescent="0.2">
      <c r="A44" s="78"/>
      <c r="B44" s="79" t="s">
        <v>221</v>
      </c>
      <c r="C44" s="80"/>
      <c r="D44" s="98">
        <f t="shared" si="28"/>
        <v>31536392</v>
      </c>
      <c r="E44" s="98">
        <f t="shared" si="28"/>
        <v>38241036</v>
      </c>
      <c r="F44" s="98">
        <f t="shared" si="28"/>
        <v>33298625</v>
      </c>
      <c r="G44" s="98">
        <f t="shared" si="28"/>
        <v>0</v>
      </c>
      <c r="H44" s="98">
        <f t="shared" si="28"/>
        <v>0</v>
      </c>
      <c r="I44" s="98">
        <f t="shared" si="28"/>
        <v>0</v>
      </c>
      <c r="J44" s="98">
        <f t="shared" si="28"/>
        <v>0</v>
      </c>
      <c r="K44" s="98">
        <f t="shared" si="28"/>
        <v>0</v>
      </c>
      <c r="L44" s="98">
        <f t="shared" si="28"/>
        <v>0</v>
      </c>
      <c r="M44" s="98">
        <f t="shared" si="28"/>
        <v>0</v>
      </c>
      <c r="N44" s="98">
        <f t="shared" si="28"/>
        <v>0</v>
      </c>
      <c r="O44" s="98">
        <f t="shared" si="28"/>
        <v>31370264</v>
      </c>
      <c r="P44" s="95"/>
      <c r="Q44" s="95"/>
      <c r="R44" s="95"/>
      <c r="S44" s="95"/>
      <c r="T44" s="95"/>
      <c r="U44" s="95"/>
    </row>
    <row r="45" spans="1:21" x14ac:dyDescent="0.2">
      <c r="A45" s="69"/>
      <c r="B45" s="70"/>
      <c r="C45" s="81"/>
      <c r="D45" s="85">
        <f>+D4</f>
        <v>45658</v>
      </c>
      <c r="E45" s="85">
        <f t="shared" ref="E45:O45" si="29">+E4</f>
        <v>45689</v>
      </c>
      <c r="F45" s="85">
        <f t="shared" si="29"/>
        <v>45717</v>
      </c>
      <c r="G45" s="85">
        <f t="shared" si="29"/>
        <v>45748</v>
      </c>
      <c r="H45" s="85">
        <f t="shared" si="29"/>
        <v>45778</v>
      </c>
      <c r="I45" s="85">
        <f t="shared" si="29"/>
        <v>45809</v>
      </c>
      <c r="J45" s="85">
        <f t="shared" si="29"/>
        <v>45839</v>
      </c>
      <c r="K45" s="85">
        <f t="shared" si="29"/>
        <v>45870</v>
      </c>
      <c r="L45" s="85">
        <f t="shared" si="29"/>
        <v>45901</v>
      </c>
      <c r="M45" s="85">
        <f t="shared" si="29"/>
        <v>45931</v>
      </c>
      <c r="N45" s="85">
        <f t="shared" si="29"/>
        <v>45962</v>
      </c>
      <c r="O45" s="85">
        <f t="shared" si="29"/>
        <v>45992</v>
      </c>
    </row>
    <row r="46" spans="1:21" x14ac:dyDescent="0.2">
      <c r="A46" s="78"/>
      <c r="B46" s="79" t="s">
        <v>222</v>
      </c>
      <c r="C46" s="80"/>
      <c r="D46" s="98">
        <f t="shared" ref="D46:O47" si="30">+D20+D22+D24</f>
        <v>7558708</v>
      </c>
      <c r="E46" s="98">
        <f t="shared" si="30"/>
        <v>7057121</v>
      </c>
      <c r="F46" s="98">
        <f t="shared" si="30"/>
        <v>7818770</v>
      </c>
      <c r="G46" s="98">
        <f t="shared" si="30"/>
        <v>6028371</v>
      </c>
      <c r="H46" s="98">
        <f t="shared" si="30"/>
        <v>0</v>
      </c>
      <c r="I46" s="98">
        <f t="shared" si="30"/>
        <v>0</v>
      </c>
      <c r="J46" s="98">
        <f t="shared" si="30"/>
        <v>0</v>
      </c>
      <c r="K46" s="98">
        <f t="shared" si="30"/>
        <v>0</v>
      </c>
      <c r="L46" s="98">
        <f t="shared" si="30"/>
        <v>0</v>
      </c>
      <c r="M46" s="98">
        <f t="shared" si="30"/>
        <v>0</v>
      </c>
      <c r="N46" s="98">
        <f t="shared" si="30"/>
        <v>0</v>
      </c>
      <c r="O46" s="98">
        <f t="shared" si="30"/>
        <v>7579358</v>
      </c>
    </row>
    <row r="47" spans="1:21" x14ac:dyDescent="0.2">
      <c r="A47" s="69"/>
      <c r="B47" s="70" t="s">
        <v>223</v>
      </c>
      <c r="C47" s="96"/>
      <c r="D47" s="98">
        <f t="shared" si="30"/>
        <v>6859208</v>
      </c>
      <c r="E47" s="98">
        <f t="shared" si="30"/>
        <v>6878864</v>
      </c>
      <c r="F47" s="98">
        <f t="shared" si="30"/>
        <v>6787025</v>
      </c>
      <c r="G47" s="98">
        <f t="shared" si="30"/>
        <v>0</v>
      </c>
      <c r="H47" s="98">
        <f t="shared" si="30"/>
        <v>0</v>
      </c>
      <c r="I47" s="98">
        <f t="shared" si="30"/>
        <v>0</v>
      </c>
      <c r="J47" s="98">
        <f t="shared" si="30"/>
        <v>0</v>
      </c>
      <c r="K47" s="98">
        <f t="shared" si="30"/>
        <v>0</v>
      </c>
      <c r="L47" s="98">
        <f t="shared" si="30"/>
        <v>0</v>
      </c>
      <c r="M47" s="98">
        <f t="shared" si="30"/>
        <v>0</v>
      </c>
      <c r="N47" s="98">
        <f t="shared" si="30"/>
        <v>0</v>
      </c>
      <c r="O47" s="98">
        <f t="shared" si="30"/>
        <v>6879386</v>
      </c>
    </row>
    <row r="48" spans="1:21" x14ac:dyDescent="0.2">
      <c r="A48" s="78"/>
      <c r="B48" s="79" t="s">
        <v>224</v>
      </c>
      <c r="C48" s="80"/>
      <c r="D48" s="100">
        <f t="shared" ref="D48:O48" si="31">+D44/D43</f>
        <v>0.83679622368025863</v>
      </c>
      <c r="E48" s="100">
        <f t="shared" si="31"/>
        <v>0.83347308086743099</v>
      </c>
      <c r="F48" s="100">
        <f t="shared" si="31"/>
        <v>0.85137354595437564</v>
      </c>
      <c r="G48" s="100">
        <f t="shared" si="31"/>
        <v>0</v>
      </c>
      <c r="H48" s="100" t="e">
        <f t="shared" si="31"/>
        <v>#DIV/0!</v>
      </c>
      <c r="I48" s="100" t="e">
        <f t="shared" si="31"/>
        <v>#DIV/0!</v>
      </c>
      <c r="J48" s="100" t="e">
        <f t="shared" si="31"/>
        <v>#DIV/0!</v>
      </c>
      <c r="K48" s="100" t="e">
        <f t="shared" si="31"/>
        <v>#DIV/0!</v>
      </c>
      <c r="L48" s="100" t="e">
        <f t="shared" si="31"/>
        <v>#DIV/0!</v>
      </c>
      <c r="M48" s="100" t="e">
        <f t="shared" si="31"/>
        <v>#DIV/0!</v>
      </c>
      <c r="N48" s="100" t="e">
        <f t="shared" si="31"/>
        <v>#DIV/0!</v>
      </c>
      <c r="O48" s="100">
        <f t="shared" si="31"/>
        <v>0.83484479242864684</v>
      </c>
    </row>
    <row r="49" spans="1:16" x14ac:dyDescent="0.2">
      <c r="A49" s="69"/>
      <c r="B49" s="70" t="s">
        <v>225</v>
      </c>
      <c r="C49" s="81"/>
      <c r="D49" s="100">
        <f t="shared" ref="D49:O49" si="32">+D47/D46</f>
        <v>0.90745772954848902</v>
      </c>
      <c r="E49" s="100">
        <f t="shared" si="32"/>
        <v>0.97474083269934009</v>
      </c>
      <c r="F49" s="100">
        <f t="shared" si="32"/>
        <v>0.86804254377606704</v>
      </c>
      <c r="G49" s="100">
        <f t="shared" si="32"/>
        <v>0</v>
      </c>
      <c r="H49" s="100" t="e">
        <f t="shared" si="32"/>
        <v>#DIV/0!</v>
      </c>
      <c r="I49" s="100" t="e">
        <f t="shared" si="32"/>
        <v>#DIV/0!</v>
      </c>
      <c r="J49" s="100" t="e">
        <f t="shared" si="32"/>
        <v>#DIV/0!</v>
      </c>
      <c r="K49" s="100" t="e">
        <f t="shared" si="32"/>
        <v>#DIV/0!</v>
      </c>
      <c r="L49" s="100" t="e">
        <f t="shared" si="32"/>
        <v>#DIV/0!</v>
      </c>
      <c r="M49" s="100" t="e">
        <f t="shared" si="32"/>
        <v>#DIV/0!</v>
      </c>
      <c r="N49" s="100" t="e">
        <f t="shared" si="32"/>
        <v>#DIV/0!</v>
      </c>
      <c r="O49" s="100">
        <f t="shared" si="32"/>
        <v>0.90764758703837445</v>
      </c>
    </row>
    <row r="50" spans="1:16" x14ac:dyDescent="0.2">
      <c r="A50" s="64"/>
      <c r="C50" s="63"/>
      <c r="D50" s="65"/>
      <c r="E50" s="67"/>
      <c r="F50" s="68"/>
      <c r="G50" s="65"/>
      <c r="H50" s="65"/>
      <c r="I50" s="65"/>
    </row>
    <row r="52" spans="1:16" x14ac:dyDescent="0.2">
      <c r="A52" s="132" t="s">
        <v>226</v>
      </c>
      <c r="B52" s="133"/>
      <c r="C52" s="76" t="s">
        <v>184</v>
      </c>
      <c r="D52" s="77">
        <f>+D4</f>
        <v>45658</v>
      </c>
      <c r="E52" s="77">
        <f t="shared" ref="E52:O52" si="33">+E4</f>
        <v>45689</v>
      </c>
      <c r="F52" s="77">
        <f t="shared" si="33"/>
        <v>45717</v>
      </c>
      <c r="G52" s="77">
        <f t="shared" si="33"/>
        <v>45748</v>
      </c>
      <c r="H52" s="77">
        <f t="shared" si="33"/>
        <v>45778</v>
      </c>
      <c r="I52" s="77">
        <f t="shared" si="33"/>
        <v>45809</v>
      </c>
      <c r="J52" s="77">
        <f t="shared" si="33"/>
        <v>45839</v>
      </c>
      <c r="K52" s="77">
        <f t="shared" si="33"/>
        <v>45870</v>
      </c>
      <c r="L52" s="77">
        <f t="shared" si="33"/>
        <v>45901</v>
      </c>
      <c r="M52" s="77">
        <f t="shared" si="33"/>
        <v>45931</v>
      </c>
      <c r="N52" s="77">
        <f t="shared" si="33"/>
        <v>45962</v>
      </c>
      <c r="O52" s="77">
        <f t="shared" si="33"/>
        <v>45992</v>
      </c>
    </row>
    <row r="53" spans="1:16" x14ac:dyDescent="0.2">
      <c r="A53" s="78">
        <v>1</v>
      </c>
      <c r="B53" s="79" t="s">
        <v>227</v>
      </c>
      <c r="C53" s="80" t="s">
        <v>228</v>
      </c>
      <c r="D53" s="102" t="e">
        <f>+D6/D5</f>
        <v>#DIV/0!</v>
      </c>
      <c r="E53" s="102" t="e">
        <f t="shared" ref="E53:J53" si="34">+E6/E5</f>
        <v>#DIV/0!</v>
      </c>
      <c r="F53" s="102" t="e">
        <f t="shared" si="34"/>
        <v>#DIV/0!</v>
      </c>
      <c r="G53" s="102" t="e">
        <f t="shared" si="34"/>
        <v>#DIV/0!</v>
      </c>
      <c r="H53" s="102" t="e">
        <f t="shared" si="34"/>
        <v>#DIV/0!</v>
      </c>
      <c r="I53" s="101" t="e">
        <f t="shared" si="34"/>
        <v>#DIV/0!</v>
      </c>
      <c r="J53" s="102" t="e">
        <f t="shared" si="34"/>
        <v>#DIV/0!</v>
      </c>
      <c r="K53" s="102" t="e">
        <f>+K6/K5</f>
        <v>#DIV/0!</v>
      </c>
      <c r="L53" s="102" t="e">
        <f t="shared" ref="L53:O53" si="35">+L6/L5</f>
        <v>#DIV/0!</v>
      </c>
      <c r="M53" s="102" t="e">
        <f>+M6/M5</f>
        <v>#DIV/0!</v>
      </c>
      <c r="N53" s="102" t="e">
        <f t="shared" si="35"/>
        <v>#DIV/0!</v>
      </c>
      <c r="O53" s="102">
        <f t="shared" si="35"/>
        <v>0.99921321793863105</v>
      </c>
    </row>
    <row r="54" spans="1:16" x14ac:dyDescent="0.2">
      <c r="A54" s="69">
        <v>2</v>
      </c>
      <c r="B54" s="70" t="s">
        <v>229</v>
      </c>
      <c r="C54" s="81" t="s">
        <v>228</v>
      </c>
      <c r="D54" s="102" t="e">
        <f>+D7/D5</f>
        <v>#DIV/0!</v>
      </c>
      <c r="E54" s="102" t="e">
        <f t="shared" ref="E54:J54" si="36">+E7/E5</f>
        <v>#DIV/0!</v>
      </c>
      <c r="F54" s="102" t="e">
        <f t="shared" si="36"/>
        <v>#DIV/0!</v>
      </c>
      <c r="G54" s="102" t="e">
        <f t="shared" si="36"/>
        <v>#DIV/0!</v>
      </c>
      <c r="H54" s="102" t="e">
        <f>+H7/H5</f>
        <v>#DIV/0!</v>
      </c>
      <c r="I54" s="101" t="e">
        <f t="shared" si="36"/>
        <v>#DIV/0!</v>
      </c>
      <c r="J54" s="102" t="e">
        <f t="shared" si="36"/>
        <v>#DIV/0!</v>
      </c>
      <c r="K54" s="102" t="e">
        <f>+K7/K5</f>
        <v>#DIV/0!</v>
      </c>
      <c r="L54" s="102" t="e">
        <f t="shared" ref="L54:N54" si="37">+L7/L5</f>
        <v>#DIV/0!</v>
      </c>
      <c r="M54" s="102" t="e">
        <f t="shared" si="37"/>
        <v>#DIV/0!</v>
      </c>
      <c r="N54" s="102" t="e">
        <f t="shared" si="37"/>
        <v>#DIV/0!</v>
      </c>
      <c r="O54" s="102">
        <f>+O7/O5</f>
        <v>0.92289535798583788</v>
      </c>
    </row>
    <row r="55" spans="1:16" x14ac:dyDescent="0.2">
      <c r="A55" s="78">
        <v>3</v>
      </c>
      <c r="B55" s="79" t="s">
        <v>230</v>
      </c>
      <c r="C55" s="80" t="s">
        <v>228</v>
      </c>
      <c r="D55" s="102" t="str">
        <f>IF((D5&gt;0),D8/D5,"0")</f>
        <v>0</v>
      </c>
      <c r="E55" s="102" t="str">
        <f t="shared" ref="E55:O55" si="38">IF((E5&gt;0),E8/E5,"0")</f>
        <v>0</v>
      </c>
      <c r="F55" s="102" t="str">
        <f t="shared" si="38"/>
        <v>0</v>
      </c>
      <c r="G55" s="102" t="str">
        <f t="shared" si="38"/>
        <v>0</v>
      </c>
      <c r="H55" s="102" t="str">
        <f t="shared" si="38"/>
        <v>0</v>
      </c>
      <c r="I55" s="101" t="str">
        <f t="shared" si="38"/>
        <v>0</v>
      </c>
      <c r="J55" s="102" t="str">
        <f t="shared" si="38"/>
        <v>0</v>
      </c>
      <c r="K55" s="102" t="str">
        <f t="shared" si="38"/>
        <v>0</v>
      </c>
      <c r="L55" s="102" t="str">
        <f t="shared" si="38"/>
        <v>0</v>
      </c>
      <c r="M55" s="102" t="str">
        <f t="shared" si="38"/>
        <v>0</v>
      </c>
      <c r="N55" s="102" t="str">
        <f t="shared" si="38"/>
        <v>0</v>
      </c>
      <c r="O55" s="102">
        <f t="shared" si="38"/>
        <v>0.94728560188827693</v>
      </c>
    </row>
    <row r="56" spans="1:16" ht="26.25" customHeight="1" x14ac:dyDescent="0.2">
      <c r="A56" s="69">
        <v>4</v>
      </c>
      <c r="B56" s="70" t="s">
        <v>231</v>
      </c>
      <c r="C56" s="71" t="s">
        <v>232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</row>
    <row r="57" spans="1:16" x14ac:dyDescent="0.2">
      <c r="A57" s="78">
        <v>5</v>
      </c>
      <c r="B57" s="79" t="s">
        <v>233</v>
      </c>
      <c r="C57" s="80" t="s">
        <v>228</v>
      </c>
      <c r="D57" s="102">
        <f>+ROUND((D9-D10)/D9,4)</f>
        <v>0.28139999999999998</v>
      </c>
      <c r="E57" s="102">
        <f t="shared" ref="E57:M57" si="39">+ROUND((E9-E10)/E9,4)</f>
        <v>-9.9199999999999997E-2</v>
      </c>
      <c r="F57" s="102">
        <f t="shared" si="39"/>
        <v>0.1749</v>
      </c>
      <c r="G57" s="102" t="e">
        <f t="shared" si="39"/>
        <v>#DIV/0!</v>
      </c>
      <c r="H57" s="102" t="e">
        <f>+ROUND((H9-H10)/H9,4)</f>
        <v>#DIV/0!</v>
      </c>
      <c r="I57" s="102" t="e">
        <f t="shared" si="39"/>
        <v>#DIV/0!</v>
      </c>
      <c r="J57" s="102" t="e">
        <f t="shared" si="39"/>
        <v>#DIV/0!</v>
      </c>
      <c r="K57" s="102" t="e">
        <f>+ROUND((K9-K10)/K9,4)</f>
        <v>#DIV/0!</v>
      </c>
      <c r="L57" s="102" t="e">
        <f t="shared" si="39"/>
        <v>#DIV/0!</v>
      </c>
      <c r="M57" s="102" t="e">
        <f t="shared" si="39"/>
        <v>#DIV/0!</v>
      </c>
      <c r="N57" s="102" t="e">
        <f t="shared" ref="N57:O57" si="40">+ROUND((N9-N10)/N9,4)</f>
        <v>#DIV/0!</v>
      </c>
      <c r="O57" s="102">
        <f t="shared" si="40"/>
        <v>0.27550000000000002</v>
      </c>
      <c r="P57" s="124" t="e">
        <f>AVERAGE(D57:O57)</f>
        <v>#DIV/0!</v>
      </c>
    </row>
    <row r="58" spans="1:16" x14ac:dyDescent="0.2">
      <c r="A58" s="69">
        <v>6</v>
      </c>
      <c r="B58" s="70" t="s">
        <v>234</v>
      </c>
      <c r="C58" s="81" t="s">
        <v>228</v>
      </c>
      <c r="D58" s="101">
        <f>+D15/D14</f>
        <v>0.8444898865639755</v>
      </c>
      <c r="E58" s="101">
        <f t="shared" ref="E58:J58" si="41">+E15/E14</f>
        <v>0.81690888862715327</v>
      </c>
      <c r="F58" s="101">
        <f t="shared" si="41"/>
        <v>0.88642918850018582</v>
      </c>
      <c r="G58" s="101">
        <f t="shared" si="41"/>
        <v>0</v>
      </c>
      <c r="H58" s="101" t="e">
        <f t="shared" si="41"/>
        <v>#DIV/0!</v>
      </c>
      <c r="I58" s="101" t="e">
        <f t="shared" si="41"/>
        <v>#DIV/0!</v>
      </c>
      <c r="J58" s="101" t="e">
        <f t="shared" si="41"/>
        <v>#DIV/0!</v>
      </c>
      <c r="K58" s="102" t="e">
        <f>+K15/K14</f>
        <v>#DIV/0!</v>
      </c>
      <c r="L58" s="101" t="e">
        <f t="shared" ref="L58:O58" si="42">+L15/L14</f>
        <v>#DIV/0!</v>
      </c>
      <c r="M58" s="101" t="e">
        <f t="shared" si="42"/>
        <v>#DIV/0!</v>
      </c>
      <c r="N58" s="102" t="e">
        <f t="shared" si="42"/>
        <v>#DIV/0!</v>
      </c>
      <c r="O58" s="101">
        <f t="shared" si="42"/>
        <v>0.83655233126821082</v>
      </c>
    </row>
    <row r="59" spans="1:16" x14ac:dyDescent="0.2">
      <c r="A59" s="78">
        <v>7</v>
      </c>
      <c r="B59" s="79" t="s">
        <v>235</v>
      </c>
      <c r="C59" s="80" t="s">
        <v>228</v>
      </c>
      <c r="D59" s="101">
        <f>+D17/D16</f>
        <v>0.8255919962598699</v>
      </c>
      <c r="E59" s="101">
        <f>+E20/E16</f>
        <v>0.2324884950290696</v>
      </c>
      <c r="F59" s="101">
        <f t="shared" ref="F59:J59" si="43">+F17/F16</f>
        <v>0.82644133594227065</v>
      </c>
      <c r="G59" s="101">
        <f t="shared" si="43"/>
        <v>0</v>
      </c>
      <c r="H59" s="101" t="e">
        <f t="shared" si="43"/>
        <v>#DIV/0!</v>
      </c>
      <c r="I59" s="101" t="e">
        <f t="shared" si="43"/>
        <v>#DIV/0!</v>
      </c>
      <c r="J59" s="101" t="e">
        <f t="shared" si="43"/>
        <v>#DIV/0!</v>
      </c>
      <c r="K59" s="102" t="e">
        <f>+K17/K16</f>
        <v>#DIV/0!</v>
      </c>
      <c r="L59" s="101" t="e">
        <f t="shared" ref="L59:O59" si="44">+L17/L16</f>
        <v>#DIV/0!</v>
      </c>
      <c r="M59" s="101" t="e">
        <f t="shared" si="44"/>
        <v>#DIV/0!</v>
      </c>
      <c r="N59" s="101" t="e">
        <f t="shared" si="44"/>
        <v>#DIV/0!</v>
      </c>
      <c r="O59" s="101">
        <f t="shared" si="44"/>
        <v>0.83428239753643829</v>
      </c>
    </row>
    <row r="60" spans="1:16" x14ac:dyDescent="0.2">
      <c r="A60" s="69">
        <v>8</v>
      </c>
      <c r="B60" s="70" t="s">
        <v>236</v>
      </c>
      <c r="C60" s="81" t="s">
        <v>228</v>
      </c>
      <c r="D60" s="101">
        <f>+D19/D18</f>
        <v>0.83582750775961756</v>
      </c>
      <c r="E60" s="101">
        <f t="shared" ref="E60:J60" si="45">+E19/E18</f>
        <v>0.86405666713818163</v>
      </c>
      <c r="F60" s="101">
        <f t="shared" si="45"/>
        <v>0.82761244545081514</v>
      </c>
      <c r="G60" s="101">
        <f t="shared" si="45"/>
        <v>0</v>
      </c>
      <c r="H60" s="101" t="e">
        <f t="shared" si="45"/>
        <v>#DIV/0!</v>
      </c>
      <c r="I60" s="101" t="e">
        <f t="shared" si="45"/>
        <v>#DIV/0!</v>
      </c>
      <c r="J60" s="101" t="e">
        <f t="shared" si="45"/>
        <v>#DIV/0!</v>
      </c>
      <c r="K60" s="102" t="e">
        <f>+K19/K18</f>
        <v>#DIV/0!</v>
      </c>
      <c r="L60" s="101" t="e">
        <f t="shared" ref="L60:O60" si="46">+L19/L18</f>
        <v>#DIV/0!</v>
      </c>
      <c r="M60" s="101" t="e">
        <f t="shared" si="46"/>
        <v>#DIV/0!</v>
      </c>
      <c r="N60" s="101" t="e">
        <f t="shared" si="46"/>
        <v>#DIV/0!</v>
      </c>
      <c r="O60" s="101">
        <f t="shared" si="46"/>
        <v>0.83329499844830213</v>
      </c>
    </row>
    <row r="61" spans="1:16" x14ac:dyDescent="0.2">
      <c r="A61" s="78">
        <v>9</v>
      </c>
      <c r="B61" s="79" t="s">
        <v>237</v>
      </c>
      <c r="C61" s="80" t="s">
        <v>228</v>
      </c>
      <c r="D61" s="101">
        <f>+D21/D20</f>
        <v>0.90190834645507489</v>
      </c>
      <c r="E61" s="101">
        <f>+E21/E20</f>
        <v>0.937936904305819</v>
      </c>
      <c r="F61" s="101">
        <f t="shared" ref="F61:J61" si="47">+F21/F20</f>
        <v>0.75584814932761002</v>
      </c>
      <c r="G61" s="101">
        <f t="shared" si="47"/>
        <v>0</v>
      </c>
      <c r="H61" s="101" t="e">
        <f t="shared" si="47"/>
        <v>#DIV/0!</v>
      </c>
      <c r="I61" s="101" t="e">
        <f t="shared" si="47"/>
        <v>#DIV/0!</v>
      </c>
      <c r="J61" s="101" t="e">
        <f t="shared" si="47"/>
        <v>#DIV/0!</v>
      </c>
      <c r="K61" s="102" t="e">
        <f>+K21/K20</f>
        <v>#DIV/0!</v>
      </c>
      <c r="L61" s="101" t="e">
        <f t="shared" ref="L61:O61" si="48">+L21/L20</f>
        <v>#DIV/0!</v>
      </c>
      <c r="M61" s="101" t="e">
        <f t="shared" si="48"/>
        <v>#DIV/0!</v>
      </c>
      <c r="N61" s="101" t="e">
        <f t="shared" si="48"/>
        <v>#DIV/0!</v>
      </c>
      <c r="O61" s="101">
        <f t="shared" si="48"/>
        <v>0.90194409450408652</v>
      </c>
    </row>
    <row r="62" spans="1:16" x14ac:dyDescent="0.2">
      <c r="A62" s="69">
        <v>10</v>
      </c>
      <c r="B62" s="70" t="s">
        <v>238</v>
      </c>
      <c r="C62" s="81" t="s">
        <v>228</v>
      </c>
      <c r="D62" s="101">
        <f>+D23/D22</f>
        <v>0.92028297848418672</v>
      </c>
      <c r="E62" s="101">
        <f t="shared" ref="E62:J62" si="49">+E23/E22</f>
        <v>1</v>
      </c>
      <c r="F62" s="101">
        <f t="shared" si="49"/>
        <v>0.97481641456276946</v>
      </c>
      <c r="G62" s="101">
        <f t="shared" si="49"/>
        <v>0</v>
      </c>
      <c r="H62" s="101" t="e">
        <f t="shared" si="49"/>
        <v>#DIV/0!</v>
      </c>
      <c r="I62" s="101" t="e">
        <f t="shared" si="49"/>
        <v>#DIV/0!</v>
      </c>
      <c r="J62" s="101" t="e">
        <f t="shared" si="49"/>
        <v>#DIV/0!</v>
      </c>
      <c r="K62" s="102" t="e">
        <f>+K23/K22</f>
        <v>#DIV/0!</v>
      </c>
      <c r="L62" s="101" t="e">
        <f t="shared" ref="L62:O62" si="50">+L23/L22</f>
        <v>#DIV/0!</v>
      </c>
      <c r="M62" s="101" t="e">
        <f t="shared" si="50"/>
        <v>#DIV/0!</v>
      </c>
      <c r="N62" s="101" t="e">
        <f t="shared" si="50"/>
        <v>#DIV/0!</v>
      </c>
      <c r="O62" s="101">
        <f t="shared" si="50"/>
        <v>0.92044562022944965</v>
      </c>
    </row>
    <row r="63" spans="1:16" x14ac:dyDescent="0.2">
      <c r="A63" s="78">
        <v>11</v>
      </c>
      <c r="B63" s="79" t="s">
        <v>239</v>
      </c>
      <c r="C63" s="80" t="s">
        <v>228</v>
      </c>
      <c r="D63" s="101">
        <f>+D25/D24</f>
        <v>0.90443046008163375</v>
      </c>
      <c r="E63" s="101">
        <f t="shared" ref="E63:J63" si="51">+E25/E24</f>
        <v>0.99884831809012342</v>
      </c>
      <c r="F63" s="101">
        <f t="shared" si="51"/>
        <v>0.98607658672610832</v>
      </c>
      <c r="G63" s="101">
        <f t="shared" si="51"/>
        <v>0</v>
      </c>
      <c r="H63" s="101" t="e">
        <f t="shared" si="51"/>
        <v>#DIV/0!</v>
      </c>
      <c r="I63" s="101" t="e">
        <f t="shared" si="51"/>
        <v>#DIV/0!</v>
      </c>
      <c r="J63" s="101" t="e">
        <f t="shared" si="51"/>
        <v>#DIV/0!</v>
      </c>
      <c r="K63" s="102" t="e">
        <f>+K25/K24</f>
        <v>#DIV/0!</v>
      </c>
      <c r="L63" s="101" t="e">
        <f t="shared" ref="L63:O63" si="52">+L25/L24</f>
        <v>#DIV/0!</v>
      </c>
      <c r="M63" s="101" t="e">
        <f t="shared" si="52"/>
        <v>#DIV/0!</v>
      </c>
      <c r="N63" s="101" t="e">
        <f t="shared" si="52"/>
        <v>#DIV/0!</v>
      </c>
      <c r="O63" s="101">
        <f t="shared" si="52"/>
        <v>0.90483828979660785</v>
      </c>
    </row>
    <row r="64" spans="1:16" x14ac:dyDescent="0.2">
      <c r="A64" s="69">
        <v>12</v>
      </c>
      <c r="B64" s="70" t="s">
        <v>240</v>
      </c>
      <c r="C64" s="81" t="s">
        <v>228</v>
      </c>
      <c r="D64" s="101">
        <f t="shared" ref="D64:O64" si="53">+D27/D26</f>
        <v>0.85428451665636318</v>
      </c>
      <c r="E64" s="101">
        <f t="shared" si="53"/>
        <v>0.83163191731678032</v>
      </c>
      <c r="F64" s="101">
        <f t="shared" si="53"/>
        <v>0.86079780050173693</v>
      </c>
      <c r="G64" s="101">
        <f t="shared" si="53"/>
        <v>0</v>
      </c>
      <c r="H64" s="101" t="e">
        <f t="shared" si="53"/>
        <v>#DIV/0!</v>
      </c>
      <c r="I64" s="101" t="e">
        <f t="shared" si="53"/>
        <v>#DIV/0!</v>
      </c>
      <c r="J64" s="101" t="e">
        <f t="shared" si="53"/>
        <v>#DIV/0!</v>
      </c>
      <c r="K64" s="102" t="e">
        <f t="shared" si="53"/>
        <v>#DIV/0!</v>
      </c>
      <c r="L64" s="101" t="e">
        <f t="shared" si="53"/>
        <v>#DIV/0!</v>
      </c>
      <c r="M64" s="101" t="e">
        <f t="shared" si="53"/>
        <v>#DIV/0!</v>
      </c>
      <c r="N64" s="101" t="e">
        <f t="shared" si="53"/>
        <v>#DIV/0!</v>
      </c>
      <c r="O64" s="101">
        <f t="shared" si="53"/>
        <v>0.84775542478997912</v>
      </c>
    </row>
    <row r="65" spans="1:15" x14ac:dyDescent="0.2">
      <c r="A65" s="78">
        <v>13</v>
      </c>
      <c r="B65" s="79" t="s">
        <v>241</v>
      </c>
      <c r="C65" s="80" t="s">
        <v>228</v>
      </c>
      <c r="D65" s="101">
        <f t="shared" ref="D65:O65" si="54">+D29/D28</f>
        <v>0.84200275978648931</v>
      </c>
      <c r="E65" s="101">
        <f t="shared" si="54"/>
        <v>0.84986011382060533</v>
      </c>
      <c r="F65" s="101">
        <f t="shared" si="54"/>
        <v>0.85259834004539847</v>
      </c>
      <c r="G65" s="101">
        <f t="shared" si="54"/>
        <v>0</v>
      </c>
      <c r="H65" s="101" t="e">
        <f t="shared" si="54"/>
        <v>#DIV/0!</v>
      </c>
      <c r="I65" s="101" t="e">
        <f t="shared" si="54"/>
        <v>#DIV/0!</v>
      </c>
      <c r="J65" s="101" t="e">
        <f t="shared" si="54"/>
        <v>#DIV/0!</v>
      </c>
      <c r="K65" s="102" t="e">
        <f t="shared" si="54"/>
        <v>#DIV/0!</v>
      </c>
      <c r="L65" s="101" t="e">
        <f t="shared" si="54"/>
        <v>#DIV/0!</v>
      </c>
      <c r="M65" s="101" t="e">
        <f t="shared" si="54"/>
        <v>#DIV/0!</v>
      </c>
      <c r="N65" s="101" t="e">
        <f t="shared" si="54"/>
        <v>#DIV/0!</v>
      </c>
      <c r="O65" s="101">
        <f t="shared" si="54"/>
        <v>0.84932226553305445</v>
      </c>
    </row>
    <row r="66" spans="1:15" x14ac:dyDescent="0.2">
      <c r="A66" s="69">
        <v>14</v>
      </c>
      <c r="B66" s="70" t="s">
        <v>242</v>
      </c>
      <c r="C66" s="81" t="s">
        <v>228</v>
      </c>
      <c r="D66" s="101">
        <f t="shared" ref="D66:O66" si="55">+D31/D30</f>
        <v>0.84670527146944907</v>
      </c>
      <c r="E66" s="101">
        <f t="shared" si="55"/>
        <v>0.88496087992929773</v>
      </c>
      <c r="F66" s="101">
        <f t="shared" si="55"/>
        <v>0.84664709198274246</v>
      </c>
      <c r="G66" s="101">
        <f t="shared" si="55"/>
        <v>0</v>
      </c>
      <c r="H66" s="101" t="e">
        <f t="shared" si="55"/>
        <v>#DIV/0!</v>
      </c>
      <c r="I66" s="101" t="e">
        <f t="shared" si="55"/>
        <v>#DIV/0!</v>
      </c>
      <c r="J66" s="101" t="e">
        <f t="shared" si="55"/>
        <v>#DIV/0!</v>
      </c>
      <c r="K66" s="102" t="e">
        <f t="shared" si="55"/>
        <v>#DIV/0!</v>
      </c>
      <c r="L66" s="101" t="e">
        <f t="shared" si="55"/>
        <v>#DIV/0!</v>
      </c>
      <c r="M66" s="101" t="e">
        <f t="shared" si="55"/>
        <v>#DIV/0!</v>
      </c>
      <c r="N66" s="101" t="e">
        <f t="shared" si="55"/>
        <v>#DIV/0!</v>
      </c>
      <c r="O66" s="101">
        <f t="shared" si="55"/>
        <v>0.84467986563186359</v>
      </c>
    </row>
    <row r="67" spans="1:15" x14ac:dyDescent="0.2">
      <c r="A67" s="78">
        <v>15</v>
      </c>
      <c r="B67" s="79" t="s">
        <v>243</v>
      </c>
      <c r="C67" s="86" t="s">
        <v>228</v>
      </c>
      <c r="D67" s="101">
        <f t="shared" ref="D67:O67" si="56">+D33/D32</f>
        <v>0.84860085597834101</v>
      </c>
      <c r="E67" s="101">
        <f t="shared" si="56"/>
        <v>0.8523051296906401</v>
      </c>
      <c r="F67" s="101">
        <f t="shared" si="56"/>
        <v>0.85415065848226679</v>
      </c>
      <c r="G67" s="101">
        <f t="shared" si="56"/>
        <v>0</v>
      </c>
      <c r="H67" s="101" t="e">
        <f t="shared" si="56"/>
        <v>#DIV/0!</v>
      </c>
      <c r="I67" s="101" t="e">
        <f t="shared" si="56"/>
        <v>#DIV/0!</v>
      </c>
      <c r="J67" s="101" t="e">
        <f t="shared" si="56"/>
        <v>#DIV/0!</v>
      </c>
      <c r="K67" s="102" t="e">
        <f t="shared" si="56"/>
        <v>#DIV/0!</v>
      </c>
      <c r="L67" s="101" t="e">
        <f t="shared" si="56"/>
        <v>#DIV/0!</v>
      </c>
      <c r="M67" s="101" t="e">
        <f t="shared" si="56"/>
        <v>#DIV/0!</v>
      </c>
      <c r="N67" s="101" t="e">
        <f t="shared" si="56"/>
        <v>#DIV/0!</v>
      </c>
      <c r="O67" s="101">
        <f t="shared" si="56"/>
        <v>0.84706474763074935</v>
      </c>
    </row>
    <row r="68" spans="1:15" hidden="1" x14ac:dyDescent="0.2">
      <c r="A68" s="69">
        <v>16</v>
      </c>
      <c r="B68" s="70" t="s">
        <v>244</v>
      </c>
      <c r="C68" s="81" t="s">
        <v>228</v>
      </c>
      <c r="D68" s="87">
        <f t="shared" ref="D68" si="57">+D13/D10</f>
        <v>0</v>
      </c>
      <c r="E68" s="87">
        <f t="shared" ref="E68:O68" si="58">+E13/E10</f>
        <v>0</v>
      </c>
      <c r="F68" s="87">
        <f t="shared" si="58"/>
        <v>0</v>
      </c>
      <c r="G68" s="87">
        <f t="shared" si="58"/>
        <v>0</v>
      </c>
      <c r="H68" s="87" t="e">
        <f t="shared" si="58"/>
        <v>#DIV/0!</v>
      </c>
      <c r="I68" s="87" t="e">
        <f t="shared" si="58"/>
        <v>#DIV/0!</v>
      </c>
      <c r="J68" s="87" t="e">
        <f t="shared" si="58"/>
        <v>#DIV/0!</v>
      </c>
      <c r="K68" s="87" t="e">
        <f t="shared" si="58"/>
        <v>#DIV/0!</v>
      </c>
      <c r="L68" s="87" t="e">
        <f t="shared" si="58"/>
        <v>#DIV/0!</v>
      </c>
      <c r="M68" s="87" t="e">
        <f t="shared" si="58"/>
        <v>#DIV/0!</v>
      </c>
      <c r="N68" s="87" t="e">
        <f t="shared" si="58"/>
        <v>#DIV/0!</v>
      </c>
      <c r="O68" s="87">
        <f t="shared" si="58"/>
        <v>0</v>
      </c>
    </row>
    <row r="69" spans="1:15" hidden="1" x14ac:dyDescent="0.2">
      <c r="A69" s="78">
        <v>17</v>
      </c>
      <c r="B69" s="79" t="s">
        <v>245</v>
      </c>
      <c r="C69" s="80" t="s">
        <v>228</v>
      </c>
      <c r="D69" s="88">
        <f t="shared" ref="D69" si="59">+D11-D12-D13</f>
        <v>11291</v>
      </c>
      <c r="E69" s="88">
        <f t="shared" ref="E69:O69" si="60">+E11-E12-E13</f>
        <v>16060</v>
      </c>
      <c r="F69" s="88">
        <f t="shared" si="60"/>
        <v>12246</v>
      </c>
      <c r="G69" s="88">
        <f t="shared" si="60"/>
        <v>12556</v>
      </c>
      <c r="H69" s="88">
        <f t="shared" si="60"/>
        <v>0</v>
      </c>
      <c r="I69" s="88">
        <f t="shared" si="60"/>
        <v>0</v>
      </c>
      <c r="J69" s="88">
        <f t="shared" si="60"/>
        <v>0</v>
      </c>
      <c r="K69" s="88">
        <f t="shared" si="60"/>
        <v>0</v>
      </c>
      <c r="L69" s="88">
        <f t="shared" si="60"/>
        <v>0</v>
      </c>
      <c r="M69" s="88">
        <f t="shared" si="60"/>
        <v>0</v>
      </c>
      <c r="N69" s="88">
        <f t="shared" si="60"/>
        <v>0</v>
      </c>
      <c r="O69" s="88">
        <f t="shared" si="60"/>
        <v>11200</v>
      </c>
    </row>
    <row r="70" spans="1:15" x14ac:dyDescent="0.2">
      <c r="B70" s="62" t="s">
        <v>274</v>
      </c>
      <c r="D70" s="105">
        <f>+(D9-D10)/D6</f>
        <v>3.8738019169329072</v>
      </c>
      <c r="E70" s="105">
        <f t="shared" ref="E70:O70" si="61">+(E9-E10)/E6</f>
        <v>-1.2985668789808917</v>
      </c>
      <c r="F70" s="105">
        <f t="shared" si="61"/>
        <v>2.2380952380952381</v>
      </c>
      <c r="G70" s="105">
        <f t="shared" si="61"/>
        <v>-10.652173913043478</v>
      </c>
      <c r="H70" s="105" t="e">
        <f t="shared" si="61"/>
        <v>#DIV/0!</v>
      </c>
      <c r="I70" s="105" t="e">
        <f t="shared" si="61"/>
        <v>#DIV/0!</v>
      </c>
      <c r="J70" s="105" t="e">
        <f t="shared" si="61"/>
        <v>#DIV/0!</v>
      </c>
      <c r="K70" s="105" t="e">
        <f t="shared" si="61"/>
        <v>#DIV/0!</v>
      </c>
      <c r="L70" s="105" t="e">
        <f t="shared" si="61"/>
        <v>#DIV/0!</v>
      </c>
      <c r="M70" s="105" t="e">
        <f t="shared" si="61"/>
        <v>#DIV/0!</v>
      </c>
      <c r="N70" s="105" t="e">
        <f t="shared" si="61"/>
        <v>#DIV/0!</v>
      </c>
      <c r="O70" s="105">
        <f t="shared" si="61"/>
        <v>3.6724409448818895</v>
      </c>
    </row>
    <row r="71" spans="1:15" ht="18" hidden="1" x14ac:dyDescent="0.25">
      <c r="B71" s="127" t="s">
        <v>246</v>
      </c>
      <c r="C71" s="127"/>
      <c r="D71" s="128"/>
      <c r="E71" s="128"/>
      <c r="F71" s="128"/>
      <c r="G71" s="128"/>
      <c r="H71" s="128"/>
      <c r="I71" s="128"/>
    </row>
    <row r="72" spans="1:15" hidden="1" x14ac:dyDescent="0.2"/>
    <row r="73" spans="1:15" hidden="1" x14ac:dyDescent="0.2"/>
    <row r="74" spans="1:15" hidden="1" x14ac:dyDescent="0.2"/>
    <row r="75" spans="1:15" hidden="1" x14ac:dyDescent="0.2"/>
    <row r="76" spans="1:15" hidden="1" x14ac:dyDescent="0.2"/>
    <row r="77" spans="1:15" hidden="1" x14ac:dyDescent="0.2"/>
    <row r="78" spans="1:15" hidden="1" x14ac:dyDescent="0.2"/>
    <row r="79" spans="1:15" hidden="1" x14ac:dyDescent="0.2"/>
    <row r="80" spans="1:15" hidden="1" x14ac:dyDescent="0.2"/>
    <row r="81" spans="2:3" hidden="1" x14ac:dyDescent="0.2"/>
    <row r="82" spans="2:3" hidden="1" x14ac:dyDescent="0.2"/>
    <row r="83" spans="2:3" hidden="1" x14ac:dyDescent="0.2"/>
    <row r="84" spans="2:3" hidden="1" x14ac:dyDescent="0.2"/>
    <row r="85" spans="2:3" hidden="1" x14ac:dyDescent="0.2"/>
    <row r="86" spans="2:3" hidden="1" x14ac:dyDescent="0.2"/>
    <row r="87" spans="2:3" hidden="1" x14ac:dyDescent="0.2">
      <c r="B87" s="128" t="s">
        <v>247</v>
      </c>
      <c r="C87" s="128"/>
    </row>
    <row r="88" spans="2:3" hidden="1" x14ac:dyDescent="0.2"/>
    <row r="89" spans="2:3" hidden="1" x14ac:dyDescent="0.2"/>
    <row r="90" spans="2:3" hidden="1" x14ac:dyDescent="0.2"/>
    <row r="91" spans="2:3" hidden="1" x14ac:dyDescent="0.2"/>
    <row r="92" spans="2:3" hidden="1" x14ac:dyDescent="0.2"/>
    <row r="93" spans="2:3" hidden="1" x14ac:dyDescent="0.2"/>
    <row r="94" spans="2:3" ht="14.25" hidden="1" customHeight="1" x14ac:dyDescent="0.2"/>
    <row r="96" spans="2:3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</sheetData>
  <mergeCells count="10">
    <mergeCell ref="A1:O1"/>
    <mergeCell ref="B71:C71"/>
    <mergeCell ref="D71:I71"/>
    <mergeCell ref="B87:C87"/>
    <mergeCell ref="A2:B2"/>
    <mergeCell ref="C2:D2"/>
    <mergeCell ref="A4:B4"/>
    <mergeCell ref="A52:B52"/>
    <mergeCell ref="E2:F2"/>
    <mergeCell ref="G2:O2"/>
  </mergeCells>
  <printOptions horizontalCentered="1"/>
  <pageMargins left="0" right="0" top="0.78740157480314965" bottom="0.39370078740157483" header="0.55118110236220474" footer="0.19685039370078741"/>
  <pageSetup scale="60" orientation="landscape" r:id="rId1"/>
  <headerFooter alignWithMargins="0"/>
  <ignoredErrors>
    <ignoredError sqref="D33:E33 D26:D32 D43:D44 D46:D49 E31:H32 E43:O47 F33:H33 D37:E37 E30:G30 H26:H30 M31:O32 M33:O33 M26:O30 K26:K30 K33 K31:K32 I26:I30 I33 I31:I32 J33 J31:J32 J26:J30 F26:G29 E26:E29 F37:M37 L26:L33" unlockedFormula="1"/>
    <ignoredError sqref="E53:L53 E58:F58 E60:F60 F59 E57:G57 I57:J57 E54:G54 I54:O54 N53:O53 N57:O57 E65:O67 E61:F61 H61:O61 E62:F63 H62:O63 H58:O58 H59:O59 H60:O60 E64:F64 H64:O64" evalError="1"/>
    <ignoredError sqref="E48:O49" evalError="1" unlockedFormula="1"/>
    <ignoredError sqref="E59" evalError="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X62"/>
  <sheetViews>
    <sheetView tabSelected="1" topLeftCell="A10" zoomScaleNormal="100" zoomScaleSheetLayoutView="72" workbookViewId="0">
      <selection activeCell="P15" sqref="P15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9.42578125" style="2" customWidth="1"/>
    <col min="4" max="4" width="8.85546875" style="2" customWidth="1"/>
    <col min="5" max="5" width="9" style="2" customWidth="1"/>
    <col min="6" max="6" width="9.28515625" style="2" customWidth="1"/>
    <col min="7" max="8" width="8.85546875" style="2" customWidth="1"/>
    <col min="9" max="10" width="9" style="2" customWidth="1"/>
    <col min="11" max="11" width="7.7109375" style="2" customWidth="1"/>
    <col min="12" max="12" width="8.28515625" style="2" customWidth="1"/>
    <col min="13" max="14" width="7.7109375" style="2" customWidth="1"/>
    <col min="15" max="15" width="9.5703125" style="2" customWidth="1"/>
    <col min="16" max="16" width="6.5703125" style="2" customWidth="1"/>
    <col min="17" max="17" width="16" style="2" hidden="1" customWidth="1"/>
    <col min="18" max="18" width="6.5703125" style="2" hidden="1" customWidth="1"/>
    <col min="19" max="19" width="6.57031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3.5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3.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2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Sta.Mría'!$B8</f>
        <v>Eficiencia de Recaudo  Corriente</v>
      </c>
      <c r="G6" s="186"/>
      <c r="H6" s="187"/>
      <c r="I6" s="186"/>
      <c r="J6" s="186"/>
      <c r="K6" s="187"/>
      <c r="L6" s="186"/>
      <c r="M6" s="186"/>
      <c r="N6" s="186"/>
      <c r="O6" s="18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Sta.Mría'!F8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Sta.Mría'!A8</f>
        <v>IN01</v>
      </c>
      <c r="H8" s="192"/>
      <c r="I8" s="191"/>
      <c r="J8" s="191"/>
      <c r="K8" s="192"/>
      <c r="L8" s="191"/>
      <c r="M8" s="191"/>
      <c r="N8" s="191"/>
      <c r="O8" s="193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56.25" customHeight="1" thickBot="1" x14ac:dyDescent="0.3">
      <c r="A11" s="212" t="str">
        <f>'SET SP Sta.Mría'!$C8</f>
        <v>Medir la eficiencia en el recaudo corriente de la prestación de los servicios pubicos domiciliarios de Aguas del Huila.</v>
      </c>
      <c r="B11" s="213"/>
      <c r="C11" s="213"/>
      <c r="D11" s="213"/>
      <c r="E11" s="14" t="s">
        <v>35</v>
      </c>
      <c r="F11" s="213" t="str">
        <f>'SET SP Sta.Mría'!$D8</f>
        <v>(Valor  Recaudado  Corriente Usuario Final / Valor  Facturado Corriente Usuario Final) x100%</v>
      </c>
      <c r="G11" s="213"/>
      <c r="H11" s="12">
        <f>$O18</f>
        <v>0.85</v>
      </c>
      <c r="I11" s="13" t="str">
        <f>'SET SP Sta.Mría'!$E8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1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28" t="s">
        <v>31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30"/>
      <c r="V14" s="7"/>
      <c r="W14" s="6"/>
      <c r="X14" s="6"/>
    </row>
    <row r="15" spans="1:24" ht="16.5" customHeight="1" x14ac:dyDescent="0.25">
      <c r="A15" s="231" t="s">
        <v>279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89">
        <f t="shared" ref="C17:N17" si="0">$O$17</f>
        <v>0.82</v>
      </c>
      <c r="D17" s="89">
        <f t="shared" si="0"/>
        <v>0.82</v>
      </c>
      <c r="E17" s="89">
        <f t="shared" si="0"/>
        <v>0.82</v>
      </c>
      <c r="F17" s="89">
        <f t="shared" si="0"/>
        <v>0.82</v>
      </c>
      <c r="G17" s="89">
        <f t="shared" si="0"/>
        <v>0.82</v>
      </c>
      <c r="H17" s="89">
        <f t="shared" si="0"/>
        <v>0.82</v>
      </c>
      <c r="I17" s="89">
        <f t="shared" si="0"/>
        <v>0.82</v>
      </c>
      <c r="J17" s="89">
        <f t="shared" si="0"/>
        <v>0.82</v>
      </c>
      <c r="K17" s="89">
        <f t="shared" si="0"/>
        <v>0.82</v>
      </c>
      <c r="L17" s="89">
        <f t="shared" si="0"/>
        <v>0.82</v>
      </c>
      <c r="M17" s="89">
        <f t="shared" si="0"/>
        <v>0.82</v>
      </c>
      <c r="N17" s="89">
        <f t="shared" si="0"/>
        <v>0.82</v>
      </c>
      <c r="O17" s="90">
        <f>'SET SP Sta.Mría'!J8</f>
        <v>0.82</v>
      </c>
      <c r="V17" s="7"/>
      <c r="W17" s="8"/>
      <c r="X17" s="8"/>
    </row>
    <row r="18" spans="1:24" ht="17.25" customHeight="1" x14ac:dyDescent="0.25">
      <c r="A18" s="242" t="s">
        <v>278</v>
      </c>
      <c r="B18" s="243"/>
      <c r="C18" s="89">
        <f t="shared" ref="C18:N18" si="1">$O$18</f>
        <v>0.85</v>
      </c>
      <c r="D18" s="89">
        <f t="shared" si="1"/>
        <v>0.85</v>
      </c>
      <c r="E18" s="89">
        <f t="shared" si="1"/>
        <v>0.85</v>
      </c>
      <c r="F18" s="89">
        <f t="shared" si="1"/>
        <v>0.85</v>
      </c>
      <c r="G18" s="89">
        <f t="shared" si="1"/>
        <v>0.85</v>
      </c>
      <c r="H18" s="89">
        <f t="shared" si="1"/>
        <v>0.85</v>
      </c>
      <c r="I18" s="89">
        <f t="shared" si="1"/>
        <v>0.85</v>
      </c>
      <c r="J18" s="89">
        <f t="shared" si="1"/>
        <v>0.85</v>
      </c>
      <c r="K18" s="89">
        <f t="shared" si="1"/>
        <v>0.85</v>
      </c>
      <c r="L18" s="89">
        <f t="shared" si="1"/>
        <v>0.85</v>
      </c>
      <c r="M18" s="89">
        <f t="shared" si="1"/>
        <v>0.85</v>
      </c>
      <c r="N18" s="89">
        <f t="shared" si="1"/>
        <v>0.85</v>
      </c>
      <c r="O18" s="90">
        <f>'SET SP Sta.Mría'!K8</f>
        <v>0.85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>
        <f t="shared" ref="C19:E19" si="2">IF((C21),C20/C21,"-")</f>
        <v>0.83679622368025863</v>
      </c>
      <c r="D19" s="10">
        <f t="shared" si="2"/>
        <v>0.83347308086743099</v>
      </c>
      <c r="E19" s="10">
        <f t="shared" si="2"/>
        <v>0.85137354595437564</v>
      </c>
      <c r="F19" s="10">
        <f>IF((F21),F20/F21,"-")</f>
        <v>0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0.83484479242864684</v>
      </c>
      <c r="O19" s="11">
        <f t="shared" si="3"/>
        <v>0.67440818684241988</v>
      </c>
      <c r="V19" s="7"/>
      <c r="W19" s="8"/>
      <c r="X19" s="8"/>
    </row>
    <row r="20" spans="1:24" ht="23.25" customHeight="1" x14ac:dyDescent="0.25">
      <c r="A20" s="248" t="s">
        <v>37</v>
      </c>
      <c r="B20" s="31" t="s">
        <v>130</v>
      </c>
      <c r="C20" s="49">
        <f>+'STA MARIA2020'!D$15+'STA MARIA2020'!D$17+'STA MARIA2020'!D$19</f>
        <v>31536392</v>
      </c>
      <c r="D20" s="49">
        <f>+'STA MARIA2020'!E$15+'STA MARIA2020'!E$17+'STA MARIA2020'!E$19</f>
        <v>38241036</v>
      </c>
      <c r="E20" s="49">
        <f>+'STA MARIA2020'!F$15+'STA MARIA2020'!F$17+'STA MARIA2020'!F$19</f>
        <v>33298625</v>
      </c>
      <c r="F20" s="49">
        <f>+'STA MARIA2020'!G$15+'STA MARIA2020'!G$17+'STA MARIA2020'!G$19</f>
        <v>0</v>
      </c>
      <c r="G20" s="49">
        <f>+'STA MARIA2020'!H$15+'STA MARIA2020'!H$17+'STA MARIA2020'!H$19</f>
        <v>0</v>
      </c>
      <c r="H20" s="49">
        <f>+'STA MARIA2020'!I$15+'STA MARIA2020'!I$17+'STA MARIA2020'!I$19</f>
        <v>0</v>
      </c>
      <c r="I20" s="49">
        <f>+'STA MARIA2020'!J$15+'STA MARIA2020'!J$17+'STA MARIA2020'!J$19</f>
        <v>0</v>
      </c>
      <c r="J20" s="49">
        <f>+'STA MARIA2020'!K$15+'STA MARIA2020'!K$17+'STA MARIA2020'!K$19</f>
        <v>0</v>
      </c>
      <c r="K20" s="49">
        <f>+'STA MARIA2020'!L$15+'STA MARIA2020'!L$17+'STA MARIA2020'!L$19</f>
        <v>0</v>
      </c>
      <c r="L20" s="49">
        <f>+'STA MARIA2020'!M$15+'STA MARIA2020'!M$17+'STA MARIA2020'!M$19</f>
        <v>0</v>
      </c>
      <c r="M20" s="49">
        <f>+'STA MARIA2020'!N$15+'STA MARIA2020'!N$17+'STA MARIA2020'!N$19</f>
        <v>0</v>
      </c>
      <c r="N20" s="49">
        <f>+'STA MARIA2020'!O$15+'STA MARIA2020'!O$17+'STA MARIA2020'!O$19</f>
        <v>31370264</v>
      </c>
      <c r="O20" s="51">
        <f>SUM(C20:N20)</f>
        <v>134446317</v>
      </c>
      <c r="V20" s="7"/>
      <c r="W20" s="8"/>
      <c r="X20" s="8"/>
    </row>
    <row r="21" spans="1:24" ht="17.25" customHeight="1" x14ac:dyDescent="0.25">
      <c r="A21" s="248"/>
      <c r="B21" s="31" t="s">
        <v>129</v>
      </c>
      <c r="C21" s="49">
        <f>+'STA MARIA2020'!D$14+'STA MARIA2020'!D$16+'STA MARIA2020'!D$18</f>
        <v>37687063</v>
      </c>
      <c r="D21" s="49">
        <f>+'STA MARIA2020'!E$14+'STA MARIA2020'!E$16+'STA MARIA2020'!E$18</f>
        <v>45881549</v>
      </c>
      <c r="E21" s="49">
        <f>+'STA MARIA2020'!F$14+'STA MARIA2020'!F$16+'STA MARIA2020'!F$18</f>
        <v>39111651</v>
      </c>
      <c r="F21" s="49">
        <f>+'STA MARIA2020'!G$14+'STA MARIA2020'!G$16+'STA MARIA2020'!G$18</f>
        <v>39098089</v>
      </c>
      <c r="G21" s="49">
        <f>+'STA MARIA2020'!H$14+'STA MARIA2020'!H$16+'STA MARIA2020'!H$18</f>
        <v>0</v>
      </c>
      <c r="H21" s="49">
        <f>+'STA MARIA2020'!I$14+'STA MARIA2020'!I$16+'STA MARIA2020'!I$18</f>
        <v>0</v>
      </c>
      <c r="I21" s="49">
        <f>+'STA MARIA2020'!J$14+'STA MARIA2020'!J$16+'STA MARIA2020'!J$18</f>
        <v>0</v>
      </c>
      <c r="J21" s="49">
        <f>+'STA MARIA2020'!K$14+'STA MARIA2020'!K$16+'STA MARIA2020'!K$18</f>
        <v>0</v>
      </c>
      <c r="K21" s="49">
        <f>+'STA MARIA2020'!L$14+'STA MARIA2020'!L$16+'STA MARIA2020'!L$18</f>
        <v>0</v>
      </c>
      <c r="L21" s="49">
        <f>+'STA MARIA2020'!M$14+'STA MARIA2020'!M$16+'STA MARIA2020'!M$18</f>
        <v>0</v>
      </c>
      <c r="M21" s="49">
        <f>+'STA MARIA2020'!N$14+'STA MARIA2020'!N$16+'STA MARIA2020'!N$18</f>
        <v>0</v>
      </c>
      <c r="N21" s="49">
        <f>+'STA MARIA2020'!O$14+'STA MARIA2020'!O$16+'STA MARIA2020'!O$18</f>
        <v>37576163</v>
      </c>
      <c r="O21" s="51">
        <f>SUM(C21:N21)</f>
        <v>199354515</v>
      </c>
      <c r="V21" s="7"/>
      <c r="W21" s="8"/>
      <c r="X21" s="8"/>
    </row>
    <row r="22" spans="1:24" ht="17.25" customHeight="1" x14ac:dyDescent="0.25">
      <c r="A22" s="248"/>
      <c r="B22" s="3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49"/>
      <c r="B23" s="32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50" t="s">
        <v>34</v>
      </c>
      <c r="B24" s="251"/>
      <c r="C24" s="252"/>
      <c r="D24" s="239" t="str">
        <f>'SET SP Sta.Mría'!$G8</f>
        <v>Entre 80% y 100%</v>
      </c>
      <c r="E24" s="240"/>
      <c r="F24" s="240"/>
      <c r="G24" s="241"/>
      <c r="H24" s="239" t="str">
        <f>'SET SP Sta.Mría'!$H8</f>
        <v>Entre 60% y 79%</v>
      </c>
      <c r="I24" s="240"/>
      <c r="J24" s="240"/>
      <c r="K24" s="241"/>
      <c r="L24" s="239" t="str">
        <f>'SET SP Sta.Mría'!$I8</f>
        <v>Menor al 59%</v>
      </c>
      <c r="M24" s="244"/>
      <c r="N24" s="244"/>
      <c r="O24" s="245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64.75" customHeight="1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8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5" customHeight="1" x14ac:dyDescent="0.25">
      <c r="A29" s="165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5" customHeight="1" x14ac:dyDescent="0.2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5" customHeight="1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5" customHeight="1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5" customHeight="1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5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19.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15" x14ac:dyDescent="0.25">
      <c r="A42" s="165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/>
      <c r="O42" s="211"/>
    </row>
    <row r="43" spans="1:17" ht="15" x14ac:dyDescent="0.25">
      <c r="A43" s="165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210"/>
      <c r="O43" s="211"/>
    </row>
    <row r="44" spans="1:17" ht="15.75" thickBot="1" x14ac:dyDescent="0.3">
      <c r="A44" s="165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210"/>
      <c r="O44" s="211"/>
    </row>
    <row r="45" spans="1:17" ht="7.5" customHeight="1" x14ac:dyDescent="0.25">
      <c r="A45" s="257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9">
        <v>0.85</v>
      </c>
    </row>
    <row r="62" spans="17:17" x14ac:dyDescent="0.25">
      <c r="Q62" s="9">
        <v>0.9</v>
      </c>
    </row>
  </sheetData>
  <mergeCells count="78">
    <mergeCell ref="A43:M43"/>
    <mergeCell ref="N43:O43"/>
    <mergeCell ref="A44:M44"/>
    <mergeCell ref="N44:O44"/>
    <mergeCell ref="A45:O45"/>
    <mergeCell ref="A27:O27"/>
    <mergeCell ref="D24:G24"/>
    <mergeCell ref="A17:B17"/>
    <mergeCell ref="L24:O24"/>
    <mergeCell ref="H24:K24"/>
    <mergeCell ref="A18:B18"/>
    <mergeCell ref="A19:B19"/>
    <mergeCell ref="A20:A23"/>
    <mergeCell ref="A24:C25"/>
    <mergeCell ref="D25:G25"/>
    <mergeCell ref="H25:K25"/>
    <mergeCell ref="A41:M41"/>
    <mergeCell ref="N41:O41"/>
    <mergeCell ref="A42:M42"/>
    <mergeCell ref="N42:O42"/>
    <mergeCell ref="A11:D11"/>
    <mergeCell ref="F11:G11"/>
    <mergeCell ref="J11:O11"/>
    <mergeCell ref="L25:O25"/>
    <mergeCell ref="A26:O26"/>
    <mergeCell ref="A12:O12"/>
    <mergeCell ref="A13:O13"/>
    <mergeCell ref="A14:O14"/>
    <mergeCell ref="A15:O15"/>
    <mergeCell ref="A16:B16"/>
    <mergeCell ref="A28:M28"/>
    <mergeCell ref="N28:O28"/>
    <mergeCell ref="A6:E6"/>
    <mergeCell ref="F6:O6"/>
    <mergeCell ref="A8:E8"/>
    <mergeCell ref="G8:O8"/>
    <mergeCell ref="A9:D10"/>
    <mergeCell ref="E9:E10"/>
    <mergeCell ref="F9:G10"/>
    <mergeCell ref="H9:H10"/>
    <mergeCell ref="I9:I10"/>
    <mergeCell ref="J9:K10"/>
    <mergeCell ref="L9:O9"/>
    <mergeCell ref="L10:M10"/>
    <mergeCell ref="A7:E7"/>
    <mergeCell ref="N10:O10"/>
    <mergeCell ref="F7:O7"/>
    <mergeCell ref="D1:O1"/>
    <mergeCell ref="D4:O4"/>
    <mergeCell ref="A1:C4"/>
    <mergeCell ref="A5:E5"/>
    <mergeCell ref="F5:O5"/>
    <mergeCell ref="D2:O2"/>
    <mergeCell ref="D3:O3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9:M39"/>
    <mergeCell ref="N39:O39"/>
    <mergeCell ref="A40:M40"/>
    <mergeCell ref="N40:O40"/>
    <mergeCell ref="A36:M36"/>
    <mergeCell ref="N36:O36"/>
    <mergeCell ref="A37:M37"/>
    <mergeCell ref="N37:O37"/>
    <mergeCell ref="A38:M38"/>
    <mergeCell ref="N38:O38"/>
  </mergeCells>
  <dataValidations count="1">
    <dataValidation type="list" allowBlank="1" showInputMessage="1" showErrorMessage="1" sqref="J11:O11" xr:uid="{00000000-0002-0000-01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X62"/>
  <sheetViews>
    <sheetView topLeftCell="A11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9" style="2" customWidth="1"/>
    <col min="4" max="4" width="8.7109375" style="2" customWidth="1"/>
    <col min="5" max="5" width="8.85546875" style="2" customWidth="1"/>
    <col min="6" max="6" width="9.85546875" style="2" customWidth="1"/>
    <col min="7" max="7" width="8.85546875" style="2" customWidth="1"/>
    <col min="8" max="9" width="9.140625" style="2" customWidth="1"/>
    <col min="10" max="10" width="9" style="2" customWidth="1"/>
    <col min="11" max="11" width="7.7109375" style="2" customWidth="1"/>
    <col min="12" max="12" width="8.28515625" style="2" customWidth="1"/>
    <col min="13" max="14" width="7.7109375" style="2" customWidth="1"/>
    <col min="15" max="15" width="10.28515625" style="2" customWidth="1"/>
    <col min="16" max="16" width="7.140625" style="2" customWidth="1"/>
    <col min="17" max="17" width="10.85546875" style="2" hidden="1" customWidth="1"/>
    <col min="18" max="18" width="7.140625" style="2" hidden="1" customWidth="1"/>
    <col min="19" max="19" width="7.140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1.25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2.75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Sta.Mría'!$B9</f>
        <v>Eficiencia de Recaudo Total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Sta.Mría'!F9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Sta.Mría'!A9</f>
        <v>IN02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46.5" customHeight="1" thickBot="1" x14ac:dyDescent="0.3">
      <c r="A11" s="212" t="str">
        <f>'SET SP Sta.Mría'!$C9</f>
        <v>Medir la eficiencia en el recaudo total de la prestación de los servicios pubicos domiciliarios de Aguas del Huila.</v>
      </c>
      <c r="B11" s="213"/>
      <c r="C11" s="213"/>
      <c r="D11" s="213"/>
      <c r="E11" s="14" t="s">
        <v>35</v>
      </c>
      <c r="F11" s="213" t="str">
        <f>'SET SP Sta.Mría'!$D9</f>
        <v>(Valor  Recaudado  Total Usuario Final / Valor  total Facturado usuario Final) x100%</v>
      </c>
      <c r="G11" s="213"/>
      <c r="H11" s="12">
        <f>$O18</f>
        <v>0.6</v>
      </c>
      <c r="I11" s="13" t="str">
        <f>'SET SP Sta.Mría'!$E9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35.2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28" t="s">
        <v>31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30"/>
      <c r="V14" s="7"/>
      <c r="W14" s="6"/>
      <c r="X14" s="6"/>
    </row>
    <row r="15" spans="1:24" ht="16.5" customHeight="1" x14ac:dyDescent="0.25">
      <c r="A15" s="231" t="str">
        <f>+'01'!A15:O15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55">
        <f t="shared" ref="C17:N17" si="0">$O$17</f>
        <v>0.49</v>
      </c>
      <c r="D17" s="55">
        <f t="shared" si="0"/>
        <v>0.49</v>
      </c>
      <c r="E17" s="55">
        <f t="shared" si="0"/>
        <v>0.49</v>
      </c>
      <c r="F17" s="55">
        <f t="shared" si="0"/>
        <v>0.49</v>
      </c>
      <c r="G17" s="55">
        <f t="shared" si="0"/>
        <v>0.49</v>
      </c>
      <c r="H17" s="55">
        <f t="shared" si="0"/>
        <v>0.49</v>
      </c>
      <c r="I17" s="55">
        <f t="shared" si="0"/>
        <v>0.49</v>
      </c>
      <c r="J17" s="55">
        <f t="shared" si="0"/>
        <v>0.49</v>
      </c>
      <c r="K17" s="55">
        <f t="shared" si="0"/>
        <v>0.49</v>
      </c>
      <c r="L17" s="55">
        <f t="shared" si="0"/>
        <v>0.49</v>
      </c>
      <c r="M17" s="55">
        <f t="shared" si="0"/>
        <v>0.49</v>
      </c>
      <c r="N17" s="55">
        <f t="shared" si="0"/>
        <v>0.49</v>
      </c>
      <c r="O17" s="90">
        <f>'SET SP Sta.Mría'!J9</f>
        <v>0.49</v>
      </c>
      <c r="V17" s="7"/>
      <c r="W17" s="8"/>
      <c r="X17" s="8"/>
    </row>
    <row r="18" spans="1:24" ht="17.25" customHeight="1" x14ac:dyDescent="0.25">
      <c r="A18" s="242" t="str">
        <f>+'01'!A18:B18</f>
        <v>META  AÑO 2025</v>
      </c>
      <c r="B18" s="243"/>
      <c r="C18" s="55">
        <f t="shared" ref="C18:N18" si="1">$O$18</f>
        <v>0.6</v>
      </c>
      <c r="D18" s="55">
        <f t="shared" si="1"/>
        <v>0.6</v>
      </c>
      <c r="E18" s="55">
        <f t="shared" si="1"/>
        <v>0.6</v>
      </c>
      <c r="F18" s="55">
        <f t="shared" si="1"/>
        <v>0.6</v>
      </c>
      <c r="G18" s="55">
        <f t="shared" si="1"/>
        <v>0.6</v>
      </c>
      <c r="H18" s="55">
        <f t="shared" si="1"/>
        <v>0.6</v>
      </c>
      <c r="I18" s="55">
        <f t="shared" si="1"/>
        <v>0.6</v>
      </c>
      <c r="J18" s="55">
        <f t="shared" si="1"/>
        <v>0.6</v>
      </c>
      <c r="K18" s="55">
        <f t="shared" si="1"/>
        <v>0.6</v>
      </c>
      <c r="L18" s="55">
        <f t="shared" si="1"/>
        <v>0.6</v>
      </c>
      <c r="M18" s="55">
        <f t="shared" si="1"/>
        <v>0.6</v>
      </c>
      <c r="N18" s="55">
        <f t="shared" si="1"/>
        <v>0.6</v>
      </c>
      <c r="O18" s="90">
        <f>'SET SP Sta.Mría'!K9</f>
        <v>0.6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>
        <f t="shared" ref="C19:E19" si="2">IF((C21),C20/C21,"-")</f>
        <v>0.84860085597834101</v>
      </c>
      <c r="D19" s="10">
        <f t="shared" si="2"/>
        <v>0.8523051296906401</v>
      </c>
      <c r="E19" s="10">
        <f t="shared" si="2"/>
        <v>0.85415065848226679</v>
      </c>
      <c r="F19" s="10">
        <f>IF((F21),F20/F21,"-")</f>
        <v>0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0.84706474763074935</v>
      </c>
      <c r="O19" s="11">
        <f t="shared" si="3"/>
        <v>0.6875657206668655</v>
      </c>
      <c r="V19" s="7"/>
      <c r="W19" s="8"/>
      <c r="X19" s="8"/>
    </row>
    <row r="20" spans="1:24" ht="18.75" customHeight="1" x14ac:dyDescent="0.25">
      <c r="A20" s="248" t="s">
        <v>37</v>
      </c>
      <c r="B20" s="31" t="s">
        <v>132</v>
      </c>
      <c r="C20" s="49">
        <f>+'STA MARIA2020'!D33</f>
        <v>38395600</v>
      </c>
      <c r="D20" s="49">
        <f>+'STA MARIA2020'!E33</f>
        <v>45119900</v>
      </c>
      <c r="E20" s="49">
        <f>+'STA MARIA2020'!F33</f>
        <v>40085650</v>
      </c>
      <c r="F20" s="49">
        <f>+'STA MARIA2020'!G33</f>
        <v>0</v>
      </c>
      <c r="G20" s="49">
        <f>+'STA MARIA2020'!H33</f>
        <v>0</v>
      </c>
      <c r="H20" s="49">
        <f>+'STA MARIA2020'!I33</f>
        <v>0</v>
      </c>
      <c r="I20" s="49">
        <f>+'STA MARIA2020'!J33</f>
        <v>0</v>
      </c>
      <c r="J20" s="49">
        <f>+'STA MARIA2020'!K33</f>
        <v>0</v>
      </c>
      <c r="K20" s="49">
        <f>+'STA MARIA2020'!L33</f>
        <v>0</v>
      </c>
      <c r="L20" s="49">
        <f>+'STA MARIA2020'!M33</f>
        <v>0</v>
      </c>
      <c r="M20" s="49">
        <f>+'STA MARIA2020'!N33</f>
        <v>0</v>
      </c>
      <c r="N20" s="49">
        <f>+'STA MARIA2020'!O33</f>
        <v>38249650</v>
      </c>
      <c r="O20" s="51">
        <f>SUM(C20:N20)</f>
        <v>161850800</v>
      </c>
      <c r="Q20" s="58"/>
      <c r="V20" s="7"/>
      <c r="W20" s="8"/>
      <c r="X20" s="8"/>
    </row>
    <row r="21" spans="1:24" ht="15.75" customHeight="1" x14ac:dyDescent="0.25">
      <c r="A21" s="248"/>
      <c r="B21" s="31" t="s">
        <v>131</v>
      </c>
      <c r="C21" s="49">
        <f>+'STA MARIA2020'!D$26+'STA MARIA2020'!D$28+'STA MARIA2020'!D$30</f>
        <v>45245771</v>
      </c>
      <c r="D21" s="49">
        <f>+'STA MARIA2020'!E$26+'STA MARIA2020'!E$28+'STA MARIA2020'!E$30</f>
        <v>52938670</v>
      </c>
      <c r="E21" s="49">
        <f>+'STA MARIA2020'!F$26+'STA MARIA2020'!F$28+'STA MARIA2020'!F$30</f>
        <v>46930421</v>
      </c>
      <c r="F21" s="49">
        <f>+'STA MARIA2020'!G$26+'STA MARIA2020'!G$28+'STA MARIA2020'!G$30</f>
        <v>45126460</v>
      </c>
      <c r="G21" s="49">
        <f>+'STA MARIA2020'!H$26+'STA MARIA2020'!H$28+'STA MARIA2020'!H$30</f>
        <v>0</v>
      </c>
      <c r="H21" s="49">
        <f>+'STA MARIA2020'!I$26+'STA MARIA2020'!I$28+'STA MARIA2020'!I$30</f>
        <v>0</v>
      </c>
      <c r="I21" s="49">
        <f>+'STA MARIA2020'!J$26+'STA MARIA2020'!J$28+'STA MARIA2020'!J$30</f>
        <v>0</v>
      </c>
      <c r="J21" s="49">
        <f>+'STA MARIA2020'!K$26+'STA MARIA2020'!K$28+'STA MARIA2020'!K$30</f>
        <v>0</v>
      </c>
      <c r="K21" s="49">
        <f>+'STA MARIA2020'!L$26+'STA MARIA2020'!L$28+'STA MARIA2020'!L$30</f>
        <v>0</v>
      </c>
      <c r="L21" s="49">
        <f>+'STA MARIA2020'!M$26+'STA MARIA2020'!M$28+'STA MARIA2020'!M$30</f>
        <v>0</v>
      </c>
      <c r="M21" s="49">
        <f>+'STA MARIA2020'!N$26+'STA MARIA2020'!N$28+'STA MARIA2020'!N$30</f>
        <v>0</v>
      </c>
      <c r="N21" s="49">
        <f>+'STA MARIA2020'!O$26+'STA MARIA2020'!O$28+'STA MARIA2020'!O$30</f>
        <v>45155521</v>
      </c>
      <c r="O21" s="51">
        <f>SUM(C21:N21)</f>
        <v>235396843</v>
      </c>
      <c r="Q21" s="58"/>
      <c r="V21" s="7"/>
      <c r="W21" s="8"/>
      <c r="X21" s="8"/>
    </row>
    <row r="22" spans="1:24" ht="17.25" customHeight="1" x14ac:dyDescent="0.25">
      <c r="A22" s="248"/>
      <c r="B22" s="7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49"/>
      <c r="B23" s="75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33" customHeight="1" thickBot="1" x14ac:dyDescent="0.3">
      <c r="A24" s="250" t="s">
        <v>34</v>
      </c>
      <c r="B24" s="251"/>
      <c r="C24" s="252"/>
      <c r="D24" s="266" t="str">
        <f>'SET SP Sta.Mría'!$G9</f>
        <v>Entre 71% y 100%</v>
      </c>
      <c r="E24" s="267"/>
      <c r="F24" s="267"/>
      <c r="G24" s="268"/>
      <c r="H24" s="266" t="str">
        <f>'SET SP Sta.Mría'!$H9</f>
        <v>Entre 60% y 70%</v>
      </c>
      <c r="I24" s="267"/>
      <c r="J24" s="267"/>
      <c r="K24" s="268"/>
      <c r="L24" s="259" t="str">
        <f>'SET SP Sta.Mría'!$I9</f>
        <v>Menor al 59%</v>
      </c>
      <c r="M24" s="260"/>
      <c r="N24" s="260"/>
      <c r="O24" s="261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52.75" customHeight="1" thickBot="1" x14ac:dyDescent="0.3">
      <c r="A27" s="263"/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5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5" x14ac:dyDescent="0.25">
      <c r="A29" s="165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5" x14ac:dyDescent="0.2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5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8.75" customHeight="1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5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5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5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1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24" customHeight="1" x14ac:dyDescent="0.25">
      <c r="A42" s="165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/>
      <c r="O42" s="211"/>
    </row>
    <row r="43" spans="1:17" ht="24" customHeight="1" x14ac:dyDescent="0.25">
      <c r="A43" s="165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210"/>
      <c r="O43" s="211"/>
    </row>
    <row r="44" spans="1:17" ht="24" customHeight="1" thickBot="1" x14ac:dyDescent="0.3">
      <c r="A44" s="165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210"/>
      <c r="O44" s="211"/>
    </row>
    <row r="45" spans="1:17" ht="6.75" customHeight="1" x14ac:dyDescent="0.25">
      <c r="A45" s="257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35">
        <v>0.73</v>
      </c>
    </row>
    <row r="62" spans="17:17" x14ac:dyDescent="0.25">
      <c r="Q62" s="35">
        <v>0.75</v>
      </c>
    </row>
  </sheetData>
  <mergeCells count="78">
    <mergeCell ref="A45:O45"/>
    <mergeCell ref="A27:O27"/>
    <mergeCell ref="H24:K24"/>
    <mergeCell ref="A24:C25"/>
    <mergeCell ref="D24:G24"/>
    <mergeCell ref="A26:O26"/>
    <mergeCell ref="A28:M28"/>
    <mergeCell ref="N28:O28"/>
    <mergeCell ref="N41:O41"/>
    <mergeCell ref="A41:M41"/>
    <mergeCell ref="N42:O42"/>
    <mergeCell ref="A42:M42"/>
    <mergeCell ref="A29:M29"/>
    <mergeCell ref="N29:O29"/>
    <mergeCell ref="A30:M30"/>
    <mergeCell ref="N30:O30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N10:O10"/>
    <mergeCell ref="A11:D11"/>
    <mergeCell ref="F11:G11"/>
    <mergeCell ref="L24:O24"/>
    <mergeCell ref="D25:G25"/>
    <mergeCell ref="H25:K25"/>
    <mergeCell ref="A13:O13"/>
    <mergeCell ref="A16:B16"/>
    <mergeCell ref="L25:O25"/>
    <mergeCell ref="I9:I10"/>
    <mergeCell ref="J9:K10"/>
    <mergeCell ref="L9:O9"/>
    <mergeCell ref="L10:M10"/>
    <mergeCell ref="H9:H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9:M39"/>
    <mergeCell ref="N39:O39"/>
    <mergeCell ref="A36:M36"/>
    <mergeCell ref="N36:O36"/>
    <mergeCell ref="A37:M37"/>
    <mergeCell ref="N37:O37"/>
    <mergeCell ref="A38:M38"/>
    <mergeCell ref="N38:O38"/>
    <mergeCell ref="A43:M43"/>
    <mergeCell ref="N43:O43"/>
    <mergeCell ref="A44:M44"/>
    <mergeCell ref="N44:O44"/>
    <mergeCell ref="A40:M40"/>
    <mergeCell ref="N40:O40"/>
  </mergeCells>
  <dataValidations count="1">
    <dataValidation type="list" allowBlank="1" showInputMessage="1" showErrorMessage="1" sqref="J11:O11" xr:uid="{00000000-0002-0000-02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X62"/>
  <sheetViews>
    <sheetView topLeftCell="A11" zoomScaleSheetLayoutView="72" workbookViewId="0">
      <selection activeCell="N30" sqref="N30:O41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4" width="9" style="2" bestFit="1" customWidth="1"/>
    <col min="5" max="5" width="9.140625" style="2" customWidth="1"/>
    <col min="6" max="7" width="9.85546875" style="2" bestFit="1" customWidth="1"/>
    <col min="8" max="8" width="9" style="2" bestFit="1" customWidth="1"/>
    <col min="9" max="9" width="9.5703125" style="2" customWidth="1"/>
    <col min="10" max="10" width="9.85546875" style="2" bestFit="1" customWidth="1"/>
    <col min="11" max="11" width="7.7109375" style="2" customWidth="1"/>
    <col min="12" max="12" width="8.28515625" style="2" customWidth="1"/>
    <col min="13" max="14" width="7.7109375" style="2" customWidth="1"/>
    <col min="15" max="15" width="9.85546875" style="2" bestFit="1" customWidth="1"/>
    <col min="16" max="16" width="7" style="2" customWidth="1"/>
    <col min="17" max="18" width="7" style="2" hidden="1" customWidth="1"/>
    <col min="19" max="19" width="7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1.25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1.25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Sta.Mría'!$B10</f>
        <v>Rotación de Cartera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Sta.Mría'!F10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Sta.Mría'!A10</f>
        <v>IN03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57.75" customHeight="1" thickBot="1" x14ac:dyDescent="0.3">
      <c r="A11" s="212" t="str">
        <f>'SET SP Sta.Mría'!$C10</f>
        <v>Controlar la cartera existentes de servicios publicos por edades con el fin de evaluar la rotación de la misma.</v>
      </c>
      <c r="B11" s="213"/>
      <c r="C11" s="213"/>
      <c r="D11" s="213"/>
      <c r="E11" s="14" t="s">
        <v>111</v>
      </c>
      <c r="F11" s="213" t="str">
        <f>'SET SP Sta.Mría'!$D10</f>
        <v>(Cuentas por Cobrar  a particulares y/o oficiales /  Valor Facturado Usuarios particulares y/o oficiales) x 365</v>
      </c>
      <c r="G11" s="213"/>
      <c r="H11" s="50">
        <f>$O18</f>
        <v>20</v>
      </c>
      <c r="I11" s="13" t="str">
        <f>'SET SP Sta.Mría'!$E10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1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28" t="s">
        <v>31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30"/>
      <c r="V14" s="7"/>
      <c r="W14" s="6"/>
      <c r="X14" s="6"/>
    </row>
    <row r="15" spans="1:24" ht="16.5" customHeight="1" x14ac:dyDescent="0.25">
      <c r="A15" s="231" t="str">
        <f>+'02'!A15:O15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20">
        <f t="shared" ref="C17:N17" si="0">$O$17</f>
        <v>30</v>
      </c>
      <c r="D17" s="20">
        <f t="shared" si="0"/>
        <v>30</v>
      </c>
      <c r="E17" s="20">
        <f t="shared" si="0"/>
        <v>30</v>
      </c>
      <c r="F17" s="20">
        <f t="shared" si="0"/>
        <v>30</v>
      </c>
      <c r="G17" s="20">
        <f t="shared" si="0"/>
        <v>30</v>
      </c>
      <c r="H17" s="20">
        <f t="shared" si="0"/>
        <v>30</v>
      </c>
      <c r="I17" s="20">
        <f t="shared" si="0"/>
        <v>30</v>
      </c>
      <c r="J17" s="20">
        <f t="shared" si="0"/>
        <v>30</v>
      </c>
      <c r="K17" s="20">
        <f t="shared" si="0"/>
        <v>30</v>
      </c>
      <c r="L17" s="20">
        <f t="shared" si="0"/>
        <v>30</v>
      </c>
      <c r="M17" s="20">
        <f t="shared" si="0"/>
        <v>30</v>
      </c>
      <c r="N17" s="20">
        <f t="shared" si="0"/>
        <v>30</v>
      </c>
      <c r="O17" s="91">
        <f>'SET SP Sta.Mría'!J10</f>
        <v>30</v>
      </c>
      <c r="V17" s="7"/>
      <c r="W17" s="8"/>
      <c r="X17" s="8"/>
    </row>
    <row r="18" spans="1:24" ht="17.25" customHeight="1" x14ac:dyDescent="0.25">
      <c r="A18" s="242" t="str">
        <f>+'02'!A18:B18</f>
        <v>META  AÑO 2025</v>
      </c>
      <c r="B18" s="243"/>
      <c r="C18" s="20">
        <f t="shared" ref="C18:N18" si="1">$O$18</f>
        <v>20</v>
      </c>
      <c r="D18" s="20">
        <f t="shared" si="1"/>
        <v>20</v>
      </c>
      <c r="E18" s="20">
        <f t="shared" si="1"/>
        <v>20</v>
      </c>
      <c r="F18" s="20">
        <f t="shared" si="1"/>
        <v>20</v>
      </c>
      <c r="G18" s="20">
        <f t="shared" si="1"/>
        <v>20</v>
      </c>
      <c r="H18" s="20">
        <f t="shared" si="1"/>
        <v>20</v>
      </c>
      <c r="I18" s="20">
        <f t="shared" si="1"/>
        <v>20</v>
      </c>
      <c r="J18" s="20">
        <f t="shared" si="1"/>
        <v>20</v>
      </c>
      <c r="K18" s="20">
        <f t="shared" si="1"/>
        <v>20</v>
      </c>
      <c r="L18" s="20">
        <f t="shared" si="1"/>
        <v>20</v>
      </c>
      <c r="M18" s="20">
        <f t="shared" si="1"/>
        <v>20</v>
      </c>
      <c r="N18" s="20">
        <f t="shared" si="1"/>
        <v>20</v>
      </c>
      <c r="O18" s="91">
        <f>'SET SP Sta.Mría'!K10</f>
        <v>20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46">
        <f>IF((C22),(C20/C22)*30,"-")</f>
        <v>5.4529356665442466</v>
      </c>
      <c r="D19" s="46">
        <f>IF((D22),(D20/D22)*60,"-")</f>
        <v>5.6136650923435223</v>
      </c>
      <c r="E19" s="46">
        <f>IF((E22),(E20/E22)*90,"-")</f>
        <v>5.0214221500323974</v>
      </c>
      <c r="F19" s="46">
        <f>IF((F22),(F20/F22)*120,"-")</f>
        <v>33.472804816308184</v>
      </c>
      <c r="G19" s="46">
        <f>IF((G22),(G20/G22)*150,"-")</f>
        <v>0</v>
      </c>
      <c r="H19" s="46">
        <f>IF((H22),(H20/H22)*180,"-")</f>
        <v>0</v>
      </c>
      <c r="I19" s="46">
        <f>IF((I22),(I20/I22)*220,"-")</f>
        <v>0</v>
      </c>
      <c r="J19" s="46">
        <f>IF((J22),(J20/J22)*250,"-")</f>
        <v>0</v>
      </c>
      <c r="K19" s="46">
        <f>IF((K22),(K20/K22)*280,"-")</f>
        <v>0</v>
      </c>
      <c r="L19" s="46">
        <f>IF((L22),(L20/L22)*310,"-")</f>
        <v>0</v>
      </c>
      <c r="M19" s="46">
        <f>IF((M22),(M20/M22)*330,"-")</f>
        <v>0</v>
      </c>
      <c r="N19" s="46">
        <f>IF((N22),(N20/N22)*365,"-")</f>
        <v>12.644022208375866</v>
      </c>
      <c r="O19" s="47">
        <f t="shared" ref="O19" si="2">IF((O22),(O20/O22)*365,"-")</f>
        <v>11.221343417194909</v>
      </c>
      <c r="V19" s="7"/>
      <c r="W19" s="8"/>
      <c r="X19" s="8"/>
    </row>
    <row r="20" spans="1:24" ht="24.75" customHeight="1" x14ac:dyDescent="0.25">
      <c r="A20" s="248" t="s">
        <v>37</v>
      </c>
      <c r="B20" s="31" t="s">
        <v>133</v>
      </c>
      <c r="C20" s="49">
        <f>+'STA MARIA2020'!D37</f>
        <v>6850171</v>
      </c>
      <c r="D20" s="49">
        <f>+'STA MARIA2020'!E37</f>
        <v>7818770</v>
      </c>
      <c r="E20" s="49">
        <f>+'STA MARIA2020'!F37</f>
        <v>6844771</v>
      </c>
      <c r="F20" s="49">
        <f>+'STA MARIA2020'!G37</f>
        <v>45126460</v>
      </c>
      <c r="G20" s="49">
        <f>+'STA MARIA2020'!H37</f>
        <v>0</v>
      </c>
      <c r="H20" s="49">
        <f>+'STA MARIA2020'!I37</f>
        <v>0</v>
      </c>
      <c r="I20" s="49">
        <f>+'STA MARIA2020'!J37</f>
        <v>0</v>
      </c>
      <c r="J20" s="49">
        <f>+'STA MARIA2020'!K37</f>
        <v>0</v>
      </c>
      <c r="K20" s="49">
        <f>+'STA MARIA2020'!L37</f>
        <v>0</v>
      </c>
      <c r="L20" s="49">
        <f>+'STA MARIA2020'!M37</f>
        <v>0</v>
      </c>
      <c r="M20" s="49">
        <f>+'STA MARIA2020'!N37</f>
        <v>0</v>
      </c>
      <c r="N20" s="49">
        <f>+'STA MARIA2020'!O37</f>
        <v>6905871</v>
      </c>
      <c r="O20" s="51">
        <f>AVERAGE(C20:N20)</f>
        <v>6128836.916666667</v>
      </c>
      <c r="V20" s="7"/>
      <c r="W20" s="8"/>
      <c r="X20" s="8"/>
    </row>
    <row r="21" spans="1:24" ht="24.75" customHeight="1" x14ac:dyDescent="0.25">
      <c r="A21" s="248"/>
      <c r="B21" s="31" t="s">
        <v>248</v>
      </c>
      <c r="C21" s="49">
        <f>'01'!C21</f>
        <v>37687063</v>
      </c>
      <c r="D21" s="49">
        <f>'01'!D21</f>
        <v>45881549</v>
      </c>
      <c r="E21" s="49">
        <f>'01'!E21</f>
        <v>39111651</v>
      </c>
      <c r="F21" s="49">
        <f>'01'!F21</f>
        <v>39098089</v>
      </c>
      <c r="G21" s="49">
        <f>'01'!G21</f>
        <v>0</v>
      </c>
      <c r="H21" s="49">
        <f>'01'!H21</f>
        <v>0</v>
      </c>
      <c r="I21" s="49">
        <f>'01'!I21</f>
        <v>0</v>
      </c>
      <c r="J21" s="49">
        <f>'01'!J21</f>
        <v>0</v>
      </c>
      <c r="K21" s="49">
        <f>'01'!K21</f>
        <v>0</v>
      </c>
      <c r="L21" s="49">
        <f>'01'!L21</f>
        <v>0</v>
      </c>
      <c r="M21" s="49">
        <f>'01'!M21</f>
        <v>0</v>
      </c>
      <c r="N21" s="49">
        <f>'01'!N21</f>
        <v>37576163</v>
      </c>
      <c r="O21" s="51">
        <f>SUM(C21:N21)</f>
        <v>199354515</v>
      </c>
      <c r="V21" s="7"/>
      <c r="W21" s="8"/>
      <c r="X21" s="8"/>
    </row>
    <row r="22" spans="1:24" ht="23.25" customHeight="1" x14ac:dyDescent="0.25">
      <c r="A22" s="248"/>
      <c r="B22" s="31" t="s">
        <v>249</v>
      </c>
      <c r="C22" s="49">
        <f>C21</f>
        <v>37687063</v>
      </c>
      <c r="D22" s="49">
        <f>C22+D21</f>
        <v>83568612</v>
      </c>
      <c r="E22" s="49">
        <f t="shared" ref="E22:G22" si="3">D22+E21</f>
        <v>122680263</v>
      </c>
      <c r="F22" s="49">
        <f t="shared" si="3"/>
        <v>161778352</v>
      </c>
      <c r="G22" s="49">
        <f t="shared" si="3"/>
        <v>161778352</v>
      </c>
      <c r="H22" s="49">
        <f t="shared" ref="H22:J22" si="4">G22+H21</f>
        <v>161778352</v>
      </c>
      <c r="I22" s="49">
        <f t="shared" si="4"/>
        <v>161778352</v>
      </c>
      <c r="J22" s="49">
        <f t="shared" si="4"/>
        <v>161778352</v>
      </c>
      <c r="K22" s="49">
        <f t="shared" ref="K22" si="5">J22+K21</f>
        <v>161778352</v>
      </c>
      <c r="L22" s="49">
        <f t="shared" ref="L22" si="6">K22+L21</f>
        <v>161778352</v>
      </c>
      <c r="M22" s="49">
        <f t="shared" ref="M22" si="7">L22+M21</f>
        <v>161778352</v>
      </c>
      <c r="N22" s="49">
        <f t="shared" ref="N22" si="8">M22+N21</f>
        <v>199354515</v>
      </c>
      <c r="O22" s="51">
        <f>MAX(C22:N22)</f>
        <v>199354515</v>
      </c>
      <c r="V22" s="7"/>
      <c r="W22" s="8"/>
      <c r="X22" s="8"/>
    </row>
    <row r="23" spans="1:24" ht="17.25" customHeight="1" x14ac:dyDescent="0.25">
      <c r="A23" s="248"/>
      <c r="B23" s="7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/>
      <c r="V23" s="7"/>
      <c r="W23" s="8"/>
      <c r="X23" s="8"/>
    </row>
    <row r="24" spans="1:24" ht="18" customHeight="1" thickBot="1" x14ac:dyDescent="0.3">
      <c r="A24" s="249"/>
      <c r="B24" s="75" t="s">
        <v>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V24" s="7"/>
      <c r="W24" s="8"/>
      <c r="X24" s="8"/>
    </row>
    <row r="25" spans="1:24" ht="14.25" customHeight="1" thickBot="1" x14ac:dyDescent="0.3">
      <c r="A25" s="250" t="s">
        <v>34</v>
      </c>
      <c r="B25" s="251"/>
      <c r="C25" s="252"/>
      <c r="D25" s="239" t="str">
        <f>'SET SP Sta.Mría'!$G10</f>
        <v>Menor a 31 días</v>
      </c>
      <c r="E25" s="240"/>
      <c r="F25" s="240"/>
      <c r="G25" s="241"/>
      <c r="H25" s="239" t="str">
        <f>'SET SP Sta.Mría'!$H10</f>
        <v>Entre 31 y 45 días</v>
      </c>
      <c r="I25" s="240"/>
      <c r="J25" s="240"/>
      <c r="K25" s="241"/>
      <c r="L25" s="239" t="str">
        <f>'SET SP Sta.Mría'!$I10</f>
        <v>Mayor a 45 días</v>
      </c>
      <c r="M25" s="244"/>
      <c r="N25" s="244"/>
      <c r="O25" s="245"/>
      <c r="V25" s="7"/>
      <c r="W25" s="8"/>
      <c r="X25" s="8"/>
    </row>
    <row r="26" spans="1:24" ht="33" customHeight="1" thickBot="1" x14ac:dyDescent="0.3">
      <c r="A26" s="253"/>
      <c r="B26" s="254"/>
      <c r="C26" s="254"/>
      <c r="D26" s="255" t="s">
        <v>7</v>
      </c>
      <c r="E26" s="255"/>
      <c r="F26" s="255"/>
      <c r="G26" s="255"/>
      <c r="H26" s="256" t="s">
        <v>61</v>
      </c>
      <c r="I26" s="256"/>
      <c r="J26" s="256"/>
      <c r="K26" s="256"/>
      <c r="L26" s="217" t="s">
        <v>62</v>
      </c>
      <c r="M26" s="217"/>
      <c r="N26" s="217"/>
      <c r="O26" s="218"/>
      <c r="V26" s="7"/>
      <c r="W26" s="8"/>
      <c r="X26" s="8"/>
    </row>
    <row r="27" spans="1:24" ht="15.75" customHeight="1" thickBot="1" x14ac:dyDescent="0.3">
      <c r="A27" s="219" t="s">
        <v>36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1"/>
      <c r="V27" s="7"/>
      <c r="W27" s="8"/>
      <c r="X27" s="8"/>
    </row>
    <row r="28" spans="1:24" ht="264.75" customHeight="1" thickBot="1" x14ac:dyDescent="0.3">
      <c r="A28" s="236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8"/>
      <c r="V28" s="7"/>
    </row>
    <row r="29" spans="1:24" ht="15" customHeight="1" x14ac:dyDescent="0.25">
      <c r="A29" s="206" t="s">
        <v>58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8" t="s">
        <v>60</v>
      </c>
      <c r="O29" s="209"/>
    </row>
    <row r="30" spans="1:24" ht="15" customHeight="1" x14ac:dyDescent="0.2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45658</v>
      </c>
      <c r="O30" s="168"/>
    </row>
    <row r="31" spans="1:24" ht="15" customHeight="1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45689</v>
      </c>
      <c r="O31" s="168"/>
    </row>
    <row r="32" spans="1:24" ht="15" customHeight="1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45717</v>
      </c>
      <c r="O32" s="168"/>
    </row>
    <row r="33" spans="1:17" ht="15" customHeight="1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45748</v>
      </c>
      <c r="O33" s="168"/>
    </row>
    <row r="34" spans="1:17" ht="15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45778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45809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45839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45870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45901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45931</v>
      </c>
      <c r="O39" s="168"/>
    </row>
    <row r="40" spans="1:17" ht="15" customHeight="1" x14ac:dyDescent="0.25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45962</v>
      </c>
      <c r="O40" s="168"/>
    </row>
    <row r="41" spans="1:17" ht="15" customHeight="1" thickBot="1" x14ac:dyDescent="0.3">
      <c r="A41" s="165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7">
        <v>45992</v>
      </c>
      <c r="O41" s="168"/>
    </row>
    <row r="42" spans="1:17" ht="19.5" customHeight="1" x14ac:dyDescent="0.25">
      <c r="A42" s="206" t="s">
        <v>59</v>
      </c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8" t="s">
        <v>60</v>
      </c>
      <c r="O42" s="209"/>
    </row>
    <row r="43" spans="1:17" ht="21" customHeight="1" x14ac:dyDescent="0.25">
      <c r="A43" s="165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210"/>
      <c r="O43" s="211"/>
    </row>
    <row r="44" spans="1:17" ht="15.75" thickBot="1" x14ac:dyDescent="0.3">
      <c r="A44" s="26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1"/>
    </row>
    <row r="45" spans="1:17" ht="5.25" customHeight="1" x14ac:dyDescent="0.25">
      <c r="A45" s="257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43">
        <v>32</v>
      </c>
    </row>
    <row r="62" spans="17:17" x14ac:dyDescent="0.25">
      <c r="Q62" s="43">
        <v>30</v>
      </c>
    </row>
  </sheetData>
  <mergeCells count="76">
    <mergeCell ref="A28:O28"/>
    <mergeCell ref="H25:K25"/>
    <mergeCell ref="A25:C26"/>
    <mergeCell ref="A11:D11"/>
    <mergeCell ref="F11:G11"/>
    <mergeCell ref="L25:O25"/>
    <mergeCell ref="A45:O45"/>
    <mergeCell ref="A1:C4"/>
    <mergeCell ref="D1:O1"/>
    <mergeCell ref="D4:O4"/>
    <mergeCell ref="A8:E8"/>
    <mergeCell ref="G8:O8"/>
    <mergeCell ref="A7:E7"/>
    <mergeCell ref="A5:E5"/>
    <mergeCell ref="F5:O5"/>
    <mergeCell ref="A6:E6"/>
    <mergeCell ref="F6:O6"/>
    <mergeCell ref="F7:O7"/>
    <mergeCell ref="A27:O27"/>
    <mergeCell ref="N10:O10"/>
    <mergeCell ref="J9:K10"/>
    <mergeCell ref="L9:O9"/>
    <mergeCell ref="L10:M10"/>
    <mergeCell ref="A9:D10"/>
    <mergeCell ref="E9:E10"/>
    <mergeCell ref="F9:G10"/>
    <mergeCell ref="H9:H10"/>
    <mergeCell ref="I9:I10"/>
    <mergeCell ref="A33:M33"/>
    <mergeCell ref="N33:O33"/>
    <mergeCell ref="J11:O11"/>
    <mergeCell ref="A12:O12"/>
    <mergeCell ref="A13:O13"/>
    <mergeCell ref="A14:O14"/>
    <mergeCell ref="A15:O15"/>
    <mergeCell ref="A18:B18"/>
    <mergeCell ref="A19:B19"/>
    <mergeCell ref="A20:A24"/>
    <mergeCell ref="A17:B17"/>
    <mergeCell ref="D25:G25"/>
    <mergeCell ref="D26:G26"/>
    <mergeCell ref="H26:K26"/>
    <mergeCell ref="L26:O26"/>
    <mergeCell ref="A16:B16"/>
    <mergeCell ref="A36:M36"/>
    <mergeCell ref="N36:O36"/>
    <mergeCell ref="A44:M44"/>
    <mergeCell ref="N44:O44"/>
    <mergeCell ref="A29:M29"/>
    <mergeCell ref="N29:O29"/>
    <mergeCell ref="A42:M42"/>
    <mergeCell ref="N42:O42"/>
    <mergeCell ref="A43:M43"/>
    <mergeCell ref="N43:O43"/>
    <mergeCell ref="A30:M30"/>
    <mergeCell ref="N30:O30"/>
    <mergeCell ref="A31:M31"/>
    <mergeCell ref="N31:O31"/>
    <mergeCell ref="A32:M32"/>
    <mergeCell ref="N32:O32"/>
    <mergeCell ref="D2:O2"/>
    <mergeCell ref="D3:O3"/>
    <mergeCell ref="A37:M37"/>
    <mergeCell ref="N37:O37"/>
    <mergeCell ref="A41:M41"/>
    <mergeCell ref="N41:O41"/>
    <mergeCell ref="A38:M38"/>
    <mergeCell ref="N38:O38"/>
    <mergeCell ref="A39:M39"/>
    <mergeCell ref="N39:O39"/>
    <mergeCell ref="A40:M40"/>
    <mergeCell ref="N40:O40"/>
    <mergeCell ref="A34:M34"/>
    <mergeCell ref="N34:O34"/>
    <mergeCell ref="A35:M35"/>
    <mergeCell ref="N35:O35"/>
  </mergeCells>
  <dataValidations count="1">
    <dataValidation type="list" allowBlank="1" showInputMessage="1" showErrorMessage="1" sqref="J11:O11" xr:uid="{00000000-0002-0000-03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X62"/>
  <sheetViews>
    <sheetView zoomScaleSheetLayoutView="72" workbookViewId="0">
      <selection activeCell="N30" sqref="N30:O41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4" width="9" style="2" bestFit="1" customWidth="1"/>
    <col min="5" max="5" width="9.42578125" style="2" customWidth="1"/>
    <col min="6" max="8" width="9" style="2" bestFit="1" customWidth="1"/>
    <col min="9" max="9" width="9.7109375" style="2" customWidth="1"/>
    <col min="10" max="15" width="9" style="2" bestFit="1" customWidth="1"/>
    <col min="16" max="16" width="8.7109375" style="2" customWidth="1"/>
    <col min="17" max="18" width="8.7109375" style="2" hidden="1" customWidth="1"/>
    <col min="19" max="19" width="8.71093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2.7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1.25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.7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2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Sta.Mría'!$B11</f>
        <v>Ejecución de inversiones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Sta.Mría'!F11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Sta.Mría'!A11</f>
        <v>IN04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38.25" customHeight="1" thickBot="1" x14ac:dyDescent="0.3">
      <c r="A11" s="212" t="str">
        <f>'SET SP Sta.Mría'!$C11</f>
        <v>Realizar el seguimiento a la ejecución de la inversión establecida para la vigencia fiscal respectiva.</v>
      </c>
      <c r="B11" s="213"/>
      <c r="C11" s="213"/>
      <c r="D11" s="213"/>
      <c r="E11" s="14" t="s">
        <v>35</v>
      </c>
      <c r="F11" s="213" t="str">
        <f>'SET SP Sta.Mría'!$D11</f>
        <v xml:space="preserve">(Inversión realizada / Inversión presupuestada) x 100% </v>
      </c>
      <c r="G11" s="213"/>
      <c r="H11" s="30">
        <f>$O18</f>
        <v>1</v>
      </c>
      <c r="I11" s="13" t="str">
        <f>'SET SP Sta.Mría'!$E11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1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28" t="s">
        <v>31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30"/>
      <c r="V14" s="7"/>
      <c r="W14" s="6"/>
      <c r="X14" s="6"/>
    </row>
    <row r="15" spans="1:24" ht="16.5" customHeight="1" x14ac:dyDescent="0.25">
      <c r="A15" s="231" t="str">
        <f>+'03'!A15:O15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55">
        <f t="shared" ref="C17:N17" si="0">$O$17</f>
        <v>0.14000000000000001</v>
      </c>
      <c r="D17" s="55">
        <f t="shared" si="0"/>
        <v>0.14000000000000001</v>
      </c>
      <c r="E17" s="55">
        <f t="shared" si="0"/>
        <v>0.14000000000000001</v>
      </c>
      <c r="F17" s="55">
        <f t="shared" si="0"/>
        <v>0.14000000000000001</v>
      </c>
      <c r="G17" s="55">
        <f t="shared" si="0"/>
        <v>0.14000000000000001</v>
      </c>
      <c r="H17" s="55">
        <f t="shared" si="0"/>
        <v>0.14000000000000001</v>
      </c>
      <c r="I17" s="55">
        <f t="shared" si="0"/>
        <v>0.14000000000000001</v>
      </c>
      <c r="J17" s="55">
        <f t="shared" si="0"/>
        <v>0.14000000000000001</v>
      </c>
      <c r="K17" s="55">
        <f t="shared" si="0"/>
        <v>0.14000000000000001</v>
      </c>
      <c r="L17" s="55">
        <f t="shared" si="0"/>
        <v>0.14000000000000001</v>
      </c>
      <c r="M17" s="55">
        <f t="shared" si="0"/>
        <v>0.14000000000000001</v>
      </c>
      <c r="N17" s="55">
        <f t="shared" si="0"/>
        <v>0.14000000000000001</v>
      </c>
      <c r="O17" s="92">
        <f>'SET SP Sta.Mría'!J11</f>
        <v>0.14000000000000001</v>
      </c>
      <c r="V17" s="7"/>
      <c r="W17" s="8"/>
      <c r="X17" s="8"/>
    </row>
    <row r="18" spans="1:24" ht="17.25" customHeight="1" x14ac:dyDescent="0.25">
      <c r="A18" s="242" t="str">
        <f>+'03'!A18:B18</f>
        <v>META  AÑO 2025</v>
      </c>
      <c r="B18" s="243"/>
      <c r="C18" s="55">
        <f t="shared" ref="C18:N18" si="1">$O$18</f>
        <v>1</v>
      </c>
      <c r="D18" s="55">
        <f t="shared" si="1"/>
        <v>1</v>
      </c>
      <c r="E18" s="55">
        <f t="shared" si="1"/>
        <v>1</v>
      </c>
      <c r="F18" s="55">
        <f t="shared" si="1"/>
        <v>1</v>
      </c>
      <c r="G18" s="55">
        <f t="shared" si="1"/>
        <v>1</v>
      </c>
      <c r="H18" s="55">
        <f t="shared" si="1"/>
        <v>1</v>
      </c>
      <c r="I18" s="55">
        <f t="shared" si="1"/>
        <v>1</v>
      </c>
      <c r="J18" s="55">
        <f t="shared" si="1"/>
        <v>1</v>
      </c>
      <c r="K18" s="55">
        <f t="shared" si="1"/>
        <v>1</v>
      </c>
      <c r="L18" s="55">
        <f t="shared" si="1"/>
        <v>1</v>
      </c>
      <c r="M18" s="55">
        <f t="shared" si="1"/>
        <v>1</v>
      </c>
      <c r="N18" s="55">
        <f t="shared" si="1"/>
        <v>1</v>
      </c>
      <c r="O18" s="92">
        <f>'SET SP Sta.Mría'!K11</f>
        <v>1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 t="str">
        <f t="shared" ref="C19:O19" si="2">IF((C22),C21/C22,"-")</f>
        <v>-</v>
      </c>
      <c r="D19" s="10" t="str">
        <f t="shared" si="2"/>
        <v>-</v>
      </c>
      <c r="E19" s="10" t="str">
        <f t="shared" si="2"/>
        <v>-</v>
      </c>
      <c r="F19" s="10" t="str">
        <f t="shared" si="2"/>
        <v>-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str">
        <f t="shared" si="2"/>
        <v>-</v>
      </c>
      <c r="O19" s="11" t="str">
        <f t="shared" si="2"/>
        <v>-</v>
      </c>
      <c r="V19" s="7"/>
      <c r="W19" s="8"/>
      <c r="X19" s="8"/>
    </row>
    <row r="20" spans="1:24" ht="17.25" customHeight="1" x14ac:dyDescent="0.25">
      <c r="A20" s="248" t="s">
        <v>37</v>
      </c>
      <c r="B20" s="31" t="s">
        <v>171</v>
      </c>
      <c r="C20" s="49">
        <v>1600000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51">
        <f>SUM(C20:N20)</f>
        <v>1600000</v>
      </c>
      <c r="V20" s="7"/>
      <c r="W20" s="8"/>
      <c r="X20" s="8"/>
    </row>
    <row r="21" spans="1:24" ht="17.25" customHeight="1" x14ac:dyDescent="0.25">
      <c r="A21" s="248"/>
      <c r="B21" s="31" t="s">
        <v>172</v>
      </c>
      <c r="C21" s="49">
        <f>C20</f>
        <v>1600000</v>
      </c>
      <c r="D21" s="49">
        <f>C21+D20</f>
        <v>1600000</v>
      </c>
      <c r="E21" s="49">
        <f t="shared" ref="E21:J21" si="3">D21+E20</f>
        <v>1600000</v>
      </c>
      <c r="F21" s="49">
        <f t="shared" si="3"/>
        <v>1600000</v>
      </c>
      <c r="G21" s="49">
        <f t="shared" si="3"/>
        <v>1600000</v>
      </c>
      <c r="H21" s="49">
        <f t="shared" si="3"/>
        <v>1600000</v>
      </c>
      <c r="I21" s="49">
        <f t="shared" si="3"/>
        <v>1600000</v>
      </c>
      <c r="J21" s="49">
        <f t="shared" si="3"/>
        <v>1600000</v>
      </c>
      <c r="K21" s="49">
        <f t="shared" ref="K21" si="4">J21+K20</f>
        <v>1600000</v>
      </c>
      <c r="L21" s="49">
        <f t="shared" ref="L21" si="5">K21+L20</f>
        <v>1600000</v>
      </c>
      <c r="M21" s="49">
        <f t="shared" ref="M21" si="6">L21+M20</f>
        <v>1600000</v>
      </c>
      <c r="N21" s="49">
        <f t="shared" ref="N21" si="7">M21+N20</f>
        <v>1600000</v>
      </c>
      <c r="O21" s="51">
        <f>MAX(C21:N21)</f>
        <v>1600000</v>
      </c>
      <c r="V21" s="7"/>
      <c r="W21" s="8"/>
      <c r="X21" s="8"/>
    </row>
    <row r="22" spans="1:24" ht="13.5" customHeight="1" x14ac:dyDescent="0.25">
      <c r="A22" s="248"/>
      <c r="B22" s="31" t="s">
        <v>134</v>
      </c>
      <c r="C22" s="49"/>
      <c r="D22" s="49">
        <f>+C22</f>
        <v>0</v>
      </c>
      <c r="E22" s="49">
        <f t="shared" ref="E22:J22" si="8">+D22</f>
        <v>0</v>
      </c>
      <c r="F22" s="49">
        <f t="shared" si="8"/>
        <v>0</v>
      </c>
      <c r="G22" s="49">
        <f t="shared" si="8"/>
        <v>0</v>
      </c>
      <c r="H22" s="49">
        <f t="shared" si="8"/>
        <v>0</v>
      </c>
      <c r="I22" s="49">
        <f t="shared" si="8"/>
        <v>0</v>
      </c>
      <c r="J22" s="49">
        <f t="shared" si="8"/>
        <v>0</v>
      </c>
      <c r="K22" s="49">
        <f t="shared" ref="K22" si="9">+J22</f>
        <v>0</v>
      </c>
      <c r="L22" s="49">
        <f t="shared" ref="L22" si="10">+K22</f>
        <v>0</v>
      </c>
      <c r="M22" s="49">
        <f t="shared" ref="M22" si="11">+L22</f>
        <v>0</v>
      </c>
      <c r="N22" s="49">
        <f t="shared" ref="N22" si="12">+M22</f>
        <v>0</v>
      </c>
      <c r="O22" s="51">
        <f>MAX(C22:N22)</f>
        <v>0</v>
      </c>
      <c r="V22" s="7"/>
      <c r="W22" s="8"/>
      <c r="X22" s="8"/>
    </row>
    <row r="23" spans="1:24" ht="17.25" customHeight="1" x14ac:dyDescent="0.25">
      <c r="A23" s="248"/>
      <c r="B23" s="7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/>
      <c r="V23" s="7"/>
      <c r="W23" s="8"/>
      <c r="X23" s="8"/>
    </row>
    <row r="24" spans="1:24" ht="18" customHeight="1" thickBot="1" x14ac:dyDescent="0.3">
      <c r="A24" s="249"/>
      <c r="B24" s="75" t="s">
        <v>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V24" s="7"/>
      <c r="W24" s="8"/>
      <c r="X24" s="8"/>
    </row>
    <row r="25" spans="1:24" ht="14.25" customHeight="1" thickBot="1" x14ac:dyDescent="0.3">
      <c r="A25" s="250" t="s">
        <v>34</v>
      </c>
      <c r="B25" s="251"/>
      <c r="C25" s="252"/>
      <c r="D25" s="239" t="str">
        <f>'SET SP Sta.Mría'!$G11</f>
        <v>Entre 80% y 100%</v>
      </c>
      <c r="E25" s="240"/>
      <c r="F25" s="240"/>
      <c r="G25" s="241"/>
      <c r="H25" s="239" t="str">
        <f>'SET SP Sta.Mría'!$H11</f>
        <v>Entre 60% y 79%</v>
      </c>
      <c r="I25" s="240"/>
      <c r="J25" s="240"/>
      <c r="K25" s="241"/>
      <c r="L25" s="239" t="str">
        <f>'SET SP Sta.Mría'!$I11</f>
        <v>Menor al 59%</v>
      </c>
      <c r="M25" s="244"/>
      <c r="N25" s="244"/>
      <c r="O25" s="245"/>
      <c r="V25" s="7"/>
      <c r="W25" s="8"/>
      <c r="X25" s="8"/>
    </row>
    <row r="26" spans="1:24" ht="33" customHeight="1" thickBot="1" x14ac:dyDescent="0.3">
      <c r="A26" s="253"/>
      <c r="B26" s="254"/>
      <c r="C26" s="254"/>
      <c r="D26" s="255" t="s">
        <v>7</v>
      </c>
      <c r="E26" s="255"/>
      <c r="F26" s="255"/>
      <c r="G26" s="255"/>
      <c r="H26" s="256" t="s">
        <v>61</v>
      </c>
      <c r="I26" s="256"/>
      <c r="J26" s="256"/>
      <c r="K26" s="256"/>
      <c r="L26" s="217" t="s">
        <v>62</v>
      </c>
      <c r="M26" s="217"/>
      <c r="N26" s="217"/>
      <c r="O26" s="218"/>
      <c r="V26" s="7"/>
      <c r="W26" s="8"/>
      <c r="X26" s="8"/>
    </row>
    <row r="27" spans="1:24" ht="15.75" customHeight="1" thickBot="1" x14ac:dyDescent="0.3">
      <c r="A27" s="219" t="s">
        <v>36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1"/>
      <c r="V27" s="7"/>
      <c r="W27" s="8"/>
      <c r="X27" s="8"/>
    </row>
    <row r="28" spans="1:24" ht="264.75" customHeight="1" thickBot="1" x14ac:dyDescent="0.3">
      <c r="A28" s="236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8"/>
      <c r="V28" s="7"/>
    </row>
    <row r="29" spans="1:24" ht="15" customHeight="1" x14ac:dyDescent="0.25">
      <c r="A29" s="206" t="s">
        <v>58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8" t="s">
        <v>60</v>
      </c>
      <c r="O29" s="209"/>
    </row>
    <row r="30" spans="1:24" ht="15" customHeight="1" x14ac:dyDescent="0.25">
      <c r="A30" s="165" t="s">
        <v>271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45658</v>
      </c>
      <c r="O30" s="168"/>
    </row>
    <row r="31" spans="1:24" ht="15" customHeight="1" x14ac:dyDescent="0.25">
      <c r="A31" s="165" t="s">
        <v>271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45689</v>
      </c>
      <c r="O31" s="168"/>
    </row>
    <row r="32" spans="1:24" ht="15" customHeight="1" x14ac:dyDescent="0.25">
      <c r="A32" s="165" t="s">
        <v>271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45717</v>
      </c>
      <c r="O32" s="168"/>
    </row>
    <row r="33" spans="1:17" ht="15" customHeight="1" x14ac:dyDescent="0.25">
      <c r="A33" s="165" t="s">
        <v>271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45748</v>
      </c>
      <c r="O33" s="168"/>
    </row>
    <row r="34" spans="1:17" ht="15" customHeight="1" x14ac:dyDescent="0.25">
      <c r="A34" s="165" t="s">
        <v>271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45778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45809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45839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45870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45901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45931</v>
      </c>
      <c r="O39" s="168"/>
    </row>
    <row r="40" spans="1:17" ht="15" customHeight="1" x14ac:dyDescent="0.25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45962</v>
      </c>
      <c r="O40" s="168"/>
    </row>
    <row r="41" spans="1:17" ht="15" customHeight="1" thickBot="1" x14ac:dyDescent="0.3">
      <c r="A41" s="165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7">
        <v>45992</v>
      </c>
      <c r="O41" s="168"/>
    </row>
    <row r="42" spans="1:17" ht="19.5" customHeight="1" x14ac:dyDescent="0.25">
      <c r="A42" s="206" t="s">
        <v>59</v>
      </c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8" t="s">
        <v>60</v>
      </c>
      <c r="O42" s="209"/>
    </row>
    <row r="43" spans="1:17" ht="14.25" customHeight="1" x14ac:dyDescent="0.25">
      <c r="A43" s="165" t="s">
        <v>265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210"/>
      <c r="O43" s="211"/>
    </row>
    <row r="44" spans="1:17" ht="15.75" thickBot="1" x14ac:dyDescent="0.3">
      <c r="A44" s="269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1"/>
    </row>
    <row r="45" spans="1:17" ht="5.25" customHeight="1" x14ac:dyDescent="0.25">
      <c r="A45" s="257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35">
        <v>0.92</v>
      </c>
    </row>
    <row r="62" spans="17:17" x14ac:dyDescent="0.25">
      <c r="Q62" s="35">
        <v>1</v>
      </c>
    </row>
  </sheetData>
  <mergeCells count="76">
    <mergeCell ref="A28:O28"/>
    <mergeCell ref="H25:K25"/>
    <mergeCell ref="A25:C26"/>
    <mergeCell ref="A11:D11"/>
    <mergeCell ref="F11:G11"/>
    <mergeCell ref="L25:O25"/>
    <mergeCell ref="A45:O45"/>
    <mergeCell ref="A1:C4"/>
    <mergeCell ref="D1:O1"/>
    <mergeCell ref="D4:O4"/>
    <mergeCell ref="A8:E8"/>
    <mergeCell ref="G8:O8"/>
    <mergeCell ref="A7:E7"/>
    <mergeCell ref="A5:E5"/>
    <mergeCell ref="F5:O5"/>
    <mergeCell ref="A6:E6"/>
    <mergeCell ref="F6:O6"/>
    <mergeCell ref="F7:O7"/>
    <mergeCell ref="A27:O27"/>
    <mergeCell ref="N10:O10"/>
    <mergeCell ref="J9:K10"/>
    <mergeCell ref="L9:O9"/>
    <mergeCell ref="L10:M10"/>
    <mergeCell ref="A9:D10"/>
    <mergeCell ref="E9:E10"/>
    <mergeCell ref="F9:G10"/>
    <mergeCell ref="H9:H10"/>
    <mergeCell ref="I9:I10"/>
    <mergeCell ref="A33:M33"/>
    <mergeCell ref="N33:O33"/>
    <mergeCell ref="J11:O11"/>
    <mergeCell ref="A12:O12"/>
    <mergeCell ref="A13:O13"/>
    <mergeCell ref="A14:O14"/>
    <mergeCell ref="A15:O15"/>
    <mergeCell ref="A18:B18"/>
    <mergeCell ref="A19:B19"/>
    <mergeCell ref="A20:A24"/>
    <mergeCell ref="A17:B17"/>
    <mergeCell ref="D25:G25"/>
    <mergeCell ref="D26:G26"/>
    <mergeCell ref="H26:K26"/>
    <mergeCell ref="L26:O26"/>
    <mergeCell ref="A16:B16"/>
    <mergeCell ref="A36:M36"/>
    <mergeCell ref="N36:O36"/>
    <mergeCell ref="A44:M44"/>
    <mergeCell ref="N44:O44"/>
    <mergeCell ref="A29:M29"/>
    <mergeCell ref="N29:O29"/>
    <mergeCell ref="A42:M42"/>
    <mergeCell ref="N42:O42"/>
    <mergeCell ref="A43:M43"/>
    <mergeCell ref="N43:O43"/>
    <mergeCell ref="A30:M30"/>
    <mergeCell ref="N30:O30"/>
    <mergeCell ref="A31:M31"/>
    <mergeCell ref="N31:O31"/>
    <mergeCell ref="A32:M32"/>
    <mergeCell ref="N32:O32"/>
    <mergeCell ref="D2:O2"/>
    <mergeCell ref="D3:O3"/>
    <mergeCell ref="A37:M37"/>
    <mergeCell ref="N37:O37"/>
    <mergeCell ref="A41:M41"/>
    <mergeCell ref="N41:O41"/>
    <mergeCell ref="A38:M38"/>
    <mergeCell ref="N38:O38"/>
    <mergeCell ref="A39:M39"/>
    <mergeCell ref="N39:O39"/>
    <mergeCell ref="A40:M40"/>
    <mergeCell ref="N40:O40"/>
    <mergeCell ref="A34:M34"/>
    <mergeCell ref="N34:O34"/>
    <mergeCell ref="A35:M35"/>
    <mergeCell ref="N35:O35"/>
  </mergeCells>
  <dataValidations count="1">
    <dataValidation type="list" allowBlank="1" showInputMessage="1" showErrorMessage="1" sqref="J11:O11" xr:uid="{00000000-0002-0000-04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X61"/>
  <sheetViews>
    <sheetView topLeftCell="A11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" style="2" customWidth="1"/>
    <col min="17" max="18" width="7" style="2" hidden="1" customWidth="1"/>
    <col min="19" max="19" width="7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2.75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.7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2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Sta.Mría'!$B12</f>
        <v>Cobertura   (Acueducto)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Sta.Mría'!F12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Sta.Mría'!A12</f>
        <v>IN05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57" customHeight="1" thickBot="1" x14ac:dyDescent="0.3">
      <c r="A11" s="212" t="str">
        <f>'SET SP Sta.Mría'!$C12</f>
        <v xml:space="preserve">Medir el grado de cobertura en   la prestación del servicio de acueducto administrado por Aguas del Huila. </v>
      </c>
      <c r="B11" s="213"/>
      <c r="C11" s="213"/>
      <c r="D11" s="213"/>
      <c r="E11" s="14" t="s">
        <v>35</v>
      </c>
      <c r="F11" s="213" t="str">
        <f>'SET SP Sta.Mría'!$D12</f>
        <v xml:space="preserve">(Número de Suscriptores servicio de acueducto / Número de Domicilios) x 100% </v>
      </c>
      <c r="G11" s="213"/>
      <c r="H11" s="12">
        <f>$O18</f>
        <v>1</v>
      </c>
      <c r="I11" s="13" t="str">
        <f>'SET SP Sta.Mría'!$E12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1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72" t="s">
        <v>31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4"/>
      <c r="V14" s="7"/>
      <c r="W14" s="6"/>
      <c r="X14" s="6"/>
    </row>
    <row r="15" spans="1:24" ht="16.5" customHeight="1" x14ac:dyDescent="0.25">
      <c r="A15" s="231" t="str">
        <f>+'04'!A15:O15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89">
        <f t="shared" ref="C17:N17" si="0">$O$17</f>
        <v>0.99</v>
      </c>
      <c r="D17" s="89">
        <f t="shared" si="0"/>
        <v>0.99</v>
      </c>
      <c r="E17" s="89">
        <f t="shared" si="0"/>
        <v>0.99</v>
      </c>
      <c r="F17" s="89">
        <f t="shared" si="0"/>
        <v>0.99</v>
      </c>
      <c r="G17" s="89">
        <f t="shared" si="0"/>
        <v>0.99</v>
      </c>
      <c r="H17" s="89">
        <f t="shared" si="0"/>
        <v>0.99</v>
      </c>
      <c r="I17" s="89">
        <f t="shared" si="0"/>
        <v>0.99</v>
      </c>
      <c r="J17" s="89">
        <f t="shared" si="0"/>
        <v>0.99</v>
      </c>
      <c r="K17" s="89">
        <f t="shared" si="0"/>
        <v>0.99</v>
      </c>
      <c r="L17" s="89">
        <f t="shared" si="0"/>
        <v>0.99</v>
      </c>
      <c r="M17" s="89">
        <f t="shared" si="0"/>
        <v>0.99</v>
      </c>
      <c r="N17" s="89">
        <f t="shared" si="0"/>
        <v>0.99</v>
      </c>
      <c r="O17" s="93">
        <f>'SET SP Sta.Mría'!J12</f>
        <v>0.99</v>
      </c>
      <c r="V17" s="7"/>
      <c r="W17" s="8"/>
      <c r="X17" s="8"/>
    </row>
    <row r="18" spans="1:24" ht="17.25" customHeight="1" x14ac:dyDescent="0.25">
      <c r="A18" s="242" t="str">
        <f>+'04'!A18:B18</f>
        <v>META  AÑO 2025</v>
      </c>
      <c r="B18" s="243"/>
      <c r="C18" s="89">
        <f t="shared" ref="C18:N18" si="1">$O$18</f>
        <v>1</v>
      </c>
      <c r="D18" s="89">
        <f t="shared" si="1"/>
        <v>1</v>
      </c>
      <c r="E18" s="89">
        <f t="shared" si="1"/>
        <v>1</v>
      </c>
      <c r="F18" s="89">
        <f t="shared" si="1"/>
        <v>1</v>
      </c>
      <c r="G18" s="89">
        <f t="shared" si="1"/>
        <v>1</v>
      </c>
      <c r="H18" s="89">
        <f t="shared" si="1"/>
        <v>1</v>
      </c>
      <c r="I18" s="89">
        <f t="shared" si="1"/>
        <v>1</v>
      </c>
      <c r="J18" s="89">
        <f t="shared" si="1"/>
        <v>1</v>
      </c>
      <c r="K18" s="89">
        <f t="shared" si="1"/>
        <v>1</v>
      </c>
      <c r="L18" s="89">
        <f t="shared" si="1"/>
        <v>1</v>
      </c>
      <c r="M18" s="89">
        <f t="shared" si="1"/>
        <v>1</v>
      </c>
      <c r="N18" s="89">
        <f t="shared" si="1"/>
        <v>1</v>
      </c>
      <c r="O18" s="93">
        <f>'SET SP Sta.Mría'!K12</f>
        <v>1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 t="str">
        <f t="shared" ref="C19:E19" si="2">IF((C21),C20/C21,"-")</f>
        <v>-</v>
      </c>
      <c r="D19" s="10" t="str">
        <f t="shared" si="2"/>
        <v>-</v>
      </c>
      <c r="E19" s="10" t="str">
        <f t="shared" si="2"/>
        <v>-</v>
      </c>
      <c r="F19" s="10" t="str">
        <f>IF((F21),F20/F21,"-")</f>
        <v>-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0.99921321793863105</v>
      </c>
      <c r="O19" s="11">
        <f t="shared" si="3"/>
        <v>4.9590873328088119</v>
      </c>
      <c r="V19" s="7"/>
      <c r="W19" s="8"/>
      <c r="X19" s="8"/>
    </row>
    <row r="20" spans="1:24" ht="21.75" customHeight="1" x14ac:dyDescent="0.25">
      <c r="A20" s="248" t="s">
        <v>37</v>
      </c>
      <c r="B20" s="31" t="s">
        <v>257</v>
      </c>
      <c r="C20" s="20">
        <f>+'STA MARIA2020'!D$6</f>
        <v>1252</v>
      </c>
      <c r="D20" s="20">
        <f>+'STA MARIA2020'!E$6</f>
        <v>1256</v>
      </c>
      <c r="E20" s="20">
        <f>+'STA MARIA2020'!F$6</f>
        <v>1260</v>
      </c>
      <c r="F20" s="20">
        <f>+'STA MARIA2020'!G$6</f>
        <v>1265</v>
      </c>
      <c r="G20" s="20">
        <f>+'STA MARIA2020'!H$6</f>
        <v>0</v>
      </c>
      <c r="H20" s="20">
        <f>+'STA MARIA2020'!I$6</f>
        <v>0</v>
      </c>
      <c r="I20" s="20">
        <f>+'STA MARIA2020'!J$6</f>
        <v>0</v>
      </c>
      <c r="J20" s="20">
        <f>+'STA MARIA2020'!K$6</f>
        <v>0</v>
      </c>
      <c r="K20" s="20">
        <f>+'STA MARIA2020'!L$6</f>
        <v>0</v>
      </c>
      <c r="L20" s="20">
        <f>+'STA MARIA2020'!M$6</f>
        <v>0</v>
      </c>
      <c r="M20" s="20">
        <f>+'STA MARIA2020'!N$6</f>
        <v>0</v>
      </c>
      <c r="N20" s="20">
        <f>+'STA MARIA2020'!O$6</f>
        <v>1270</v>
      </c>
      <c r="O20" s="21">
        <f>SUM(C20:N20)</f>
        <v>6303</v>
      </c>
      <c r="V20" s="7"/>
      <c r="W20" s="8"/>
      <c r="X20" s="8"/>
    </row>
    <row r="21" spans="1:24" ht="15.75" customHeight="1" x14ac:dyDescent="0.25">
      <c r="A21" s="248"/>
      <c r="B21" s="31" t="s">
        <v>136</v>
      </c>
      <c r="C21" s="20">
        <f>+'STA MARIA2020'!D$5</f>
        <v>0</v>
      </c>
      <c r="D21" s="20">
        <f>+'STA MARIA2020'!E$5</f>
        <v>0</v>
      </c>
      <c r="E21" s="20">
        <f>+'STA MARIA2020'!F$5</f>
        <v>0</v>
      </c>
      <c r="F21" s="20">
        <f>+'STA MARIA2020'!G$5</f>
        <v>0</v>
      </c>
      <c r="G21" s="20">
        <f>+'STA MARIA2020'!H$5</f>
        <v>0</v>
      </c>
      <c r="H21" s="20">
        <f>+'STA MARIA2020'!I$5</f>
        <v>0</v>
      </c>
      <c r="I21" s="20">
        <f>+'STA MARIA2020'!J$5</f>
        <v>0</v>
      </c>
      <c r="J21" s="20">
        <f>+'STA MARIA2020'!K$5</f>
        <v>0</v>
      </c>
      <c r="K21" s="20">
        <f>+'STA MARIA2020'!L$5</f>
        <v>0</v>
      </c>
      <c r="L21" s="20">
        <f>+'STA MARIA2020'!M$5</f>
        <v>0</v>
      </c>
      <c r="M21" s="20">
        <f>+'STA MARIA2020'!N$5</f>
        <v>0</v>
      </c>
      <c r="N21" s="20">
        <f>+'STA MARIA2020'!O$5</f>
        <v>1271</v>
      </c>
      <c r="O21" s="21">
        <f>SUM(C21:N21)</f>
        <v>1271</v>
      </c>
      <c r="V21" s="7"/>
      <c r="W21" s="8"/>
      <c r="X21" s="8"/>
    </row>
    <row r="22" spans="1:24" ht="17.25" customHeight="1" x14ac:dyDescent="0.25">
      <c r="A22" s="248"/>
      <c r="B22" s="7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49"/>
      <c r="B23" s="75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50" t="s">
        <v>34</v>
      </c>
      <c r="B24" s="251"/>
      <c r="C24" s="252"/>
      <c r="D24" s="239" t="str">
        <f>'SET SP Sta.Mría'!$G12</f>
        <v>Entre 80% y 100%</v>
      </c>
      <c r="E24" s="240"/>
      <c r="F24" s="240"/>
      <c r="G24" s="241"/>
      <c r="H24" s="239" t="str">
        <f>'SET SP Sta.Mría'!$H12</f>
        <v>Entre 60% y 79%</v>
      </c>
      <c r="I24" s="240"/>
      <c r="J24" s="240"/>
      <c r="K24" s="241"/>
      <c r="L24" s="239" t="str">
        <f>'SET SP Sta.Mría'!$I12</f>
        <v>Menor al 59%</v>
      </c>
      <c r="M24" s="244"/>
      <c r="N24" s="244"/>
      <c r="O24" s="245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64.75" customHeight="1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8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5" customHeight="1" x14ac:dyDescent="0.25">
      <c r="A29" s="165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5" customHeight="1" x14ac:dyDescent="0.2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5" customHeight="1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5" customHeight="1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5" customHeight="1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5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19.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15" x14ac:dyDescent="0.25">
      <c r="A42" s="165" t="s">
        <v>3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/>
      <c r="O42" s="211"/>
    </row>
    <row r="43" spans="1:17" ht="15.75" thickBot="1" x14ac:dyDescent="0.3">
      <c r="A43" s="269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1"/>
    </row>
    <row r="44" spans="1:17" ht="6" customHeight="1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0.92</v>
      </c>
    </row>
    <row r="61" spans="17:17" x14ac:dyDescent="0.25">
      <c r="Q61" s="9">
        <v>1</v>
      </c>
    </row>
  </sheetData>
  <mergeCells count="76"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A29:M29"/>
    <mergeCell ref="N29:O29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N10:O10"/>
    <mergeCell ref="A11:D11"/>
    <mergeCell ref="F11:G11"/>
    <mergeCell ref="L24:O24"/>
    <mergeCell ref="D25:G25"/>
    <mergeCell ref="H25:K25"/>
    <mergeCell ref="A13:O13"/>
    <mergeCell ref="A16:B16"/>
    <mergeCell ref="L25:O25"/>
    <mergeCell ref="I9:I10"/>
    <mergeCell ref="J9:K10"/>
    <mergeCell ref="L9:O9"/>
    <mergeCell ref="L10:M10"/>
    <mergeCell ref="H9:H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9:M39"/>
    <mergeCell ref="N39:O39"/>
    <mergeCell ref="A40:M40"/>
    <mergeCell ref="N40:O40"/>
    <mergeCell ref="A36:M36"/>
    <mergeCell ref="N36:O36"/>
    <mergeCell ref="A37:M37"/>
    <mergeCell ref="N37:O37"/>
    <mergeCell ref="A38:M38"/>
    <mergeCell ref="N38:O38"/>
  </mergeCells>
  <dataValidations count="1">
    <dataValidation type="list" allowBlank="1" showInputMessage="1" showErrorMessage="1" sqref="J11:O11" xr:uid="{00000000-0002-0000-05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X61"/>
  <sheetViews>
    <sheetView topLeftCell="A10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.140625" style="2" customWidth="1"/>
    <col min="17" max="18" width="7.140625" style="2" hidden="1" customWidth="1"/>
    <col min="19" max="19" width="7.140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2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6.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2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Sta.Mría'!$B13</f>
        <v>Cobertura   (Alcantarillado)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Sta.Mría'!F13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Sta.Mría'!A13</f>
        <v>IN06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56.25" customHeight="1" thickBot="1" x14ac:dyDescent="0.3">
      <c r="A11" s="212" t="str">
        <f>'SET SP Sta.Mría'!$C13</f>
        <v xml:space="preserve">Medir el grado de cobertura en   la prestación del servicio de alcantarillado administrado  por Aguas del Huila. </v>
      </c>
      <c r="B11" s="213"/>
      <c r="C11" s="213"/>
      <c r="D11" s="213"/>
      <c r="E11" s="14" t="s">
        <v>35</v>
      </c>
      <c r="F11" s="213" t="str">
        <f>'SET SP Sta.Mría'!$D13</f>
        <v xml:space="preserve">(Número de Suscriptores servicio de alcantarillado  / Número de Domicilios) x 100%  </v>
      </c>
      <c r="G11" s="213"/>
      <c r="H11" s="19">
        <f>$O18</f>
        <v>1</v>
      </c>
      <c r="I11" s="13" t="str">
        <f>'SET SP Sta.Mría'!$E13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1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72" t="s">
        <v>31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4"/>
      <c r="V14" s="7"/>
      <c r="W14" s="6"/>
      <c r="X14" s="6"/>
    </row>
    <row r="15" spans="1:24" ht="16.5" customHeight="1" x14ac:dyDescent="0.25">
      <c r="A15" s="231" t="str">
        <f>+'05'!A15:O15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89">
        <f t="shared" ref="C17:N17" si="0">$O$17</f>
        <v>0.92</v>
      </c>
      <c r="D17" s="89">
        <f t="shared" si="0"/>
        <v>0.92</v>
      </c>
      <c r="E17" s="89">
        <f t="shared" si="0"/>
        <v>0.92</v>
      </c>
      <c r="F17" s="89">
        <f t="shared" si="0"/>
        <v>0.92</v>
      </c>
      <c r="G17" s="89">
        <f t="shared" si="0"/>
        <v>0.92</v>
      </c>
      <c r="H17" s="89">
        <f t="shared" si="0"/>
        <v>0.92</v>
      </c>
      <c r="I17" s="89">
        <f t="shared" si="0"/>
        <v>0.92</v>
      </c>
      <c r="J17" s="89">
        <f t="shared" si="0"/>
        <v>0.92</v>
      </c>
      <c r="K17" s="89">
        <f t="shared" si="0"/>
        <v>0.92</v>
      </c>
      <c r="L17" s="89">
        <f t="shared" si="0"/>
        <v>0.92</v>
      </c>
      <c r="M17" s="89">
        <f t="shared" si="0"/>
        <v>0.92</v>
      </c>
      <c r="N17" s="89">
        <f t="shared" si="0"/>
        <v>0.92</v>
      </c>
      <c r="O17" s="93">
        <f>'SET SP Sta.Mría'!J13</f>
        <v>0.92</v>
      </c>
      <c r="V17" s="7"/>
      <c r="W17" s="8"/>
      <c r="X17" s="8"/>
    </row>
    <row r="18" spans="1:24" ht="17.25" customHeight="1" x14ac:dyDescent="0.25">
      <c r="A18" s="242" t="str">
        <f>+'05'!A18:B18</f>
        <v>META  AÑO 2025</v>
      </c>
      <c r="B18" s="243"/>
      <c r="C18" s="89">
        <f t="shared" ref="C18:N18" si="1">$O$18</f>
        <v>1</v>
      </c>
      <c r="D18" s="89">
        <f t="shared" si="1"/>
        <v>1</v>
      </c>
      <c r="E18" s="89">
        <f t="shared" si="1"/>
        <v>1</v>
      </c>
      <c r="F18" s="89">
        <f t="shared" si="1"/>
        <v>1</v>
      </c>
      <c r="G18" s="89">
        <f t="shared" si="1"/>
        <v>1</v>
      </c>
      <c r="H18" s="89">
        <f t="shared" si="1"/>
        <v>1</v>
      </c>
      <c r="I18" s="89">
        <f t="shared" si="1"/>
        <v>1</v>
      </c>
      <c r="J18" s="89">
        <f t="shared" si="1"/>
        <v>1</v>
      </c>
      <c r="K18" s="89">
        <f t="shared" si="1"/>
        <v>1</v>
      </c>
      <c r="L18" s="89">
        <f t="shared" si="1"/>
        <v>1</v>
      </c>
      <c r="M18" s="89">
        <f t="shared" si="1"/>
        <v>1</v>
      </c>
      <c r="N18" s="89">
        <f t="shared" si="1"/>
        <v>1</v>
      </c>
      <c r="O18" s="93">
        <f>'SET SP Sta.Mría'!K13</f>
        <v>1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 t="str">
        <f t="shared" ref="C19:E19" si="2">IF((C21),C20/C21,"-")</f>
        <v>-</v>
      </c>
      <c r="D19" s="10" t="str">
        <f t="shared" si="2"/>
        <v>-</v>
      </c>
      <c r="E19" s="10" t="str">
        <f t="shared" si="2"/>
        <v>-</v>
      </c>
      <c r="F19" s="10" t="str">
        <f>IF((F21),F20/F21,"-")</f>
        <v>-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0.92289535798583788</v>
      </c>
      <c r="O19" s="11">
        <f t="shared" si="3"/>
        <v>4.5743509047993705</v>
      </c>
      <c r="V19" s="7"/>
      <c r="W19" s="8"/>
      <c r="X19" s="8"/>
    </row>
    <row r="20" spans="1:24" ht="22.5" customHeight="1" x14ac:dyDescent="0.25">
      <c r="A20" s="248" t="s">
        <v>37</v>
      </c>
      <c r="B20" s="31" t="s">
        <v>258</v>
      </c>
      <c r="C20" s="20">
        <f>+'STA MARIA2020'!D$7</f>
        <v>1155</v>
      </c>
      <c r="D20" s="20">
        <f>+'STA MARIA2020'!E$7</f>
        <v>1158</v>
      </c>
      <c r="E20" s="20">
        <f>+'STA MARIA2020'!F$7</f>
        <v>1162</v>
      </c>
      <c r="F20" s="20">
        <f>+'STA MARIA2020'!G$7</f>
        <v>1166</v>
      </c>
      <c r="G20" s="20">
        <f>+'STA MARIA2020'!H$7</f>
        <v>0</v>
      </c>
      <c r="H20" s="20">
        <f>+'STA MARIA2020'!I$7</f>
        <v>0</v>
      </c>
      <c r="I20" s="20">
        <f>+'STA MARIA2020'!J$7</f>
        <v>0</v>
      </c>
      <c r="J20" s="20">
        <f>+'STA MARIA2020'!K$7</f>
        <v>0</v>
      </c>
      <c r="K20" s="20">
        <f>+'STA MARIA2020'!L$7</f>
        <v>0</v>
      </c>
      <c r="L20" s="20">
        <f>+'STA MARIA2020'!M$7</f>
        <v>0</v>
      </c>
      <c r="M20" s="20">
        <f>+'STA MARIA2020'!N$7</f>
        <v>0</v>
      </c>
      <c r="N20" s="20">
        <f>+'STA MARIA2020'!O$7</f>
        <v>1173</v>
      </c>
      <c r="O20" s="21">
        <f>SUM(C20:N20)</f>
        <v>5814</v>
      </c>
      <c r="V20" s="7"/>
      <c r="W20" s="8"/>
      <c r="X20" s="8"/>
    </row>
    <row r="21" spans="1:24" ht="12.75" customHeight="1" x14ac:dyDescent="0.25">
      <c r="A21" s="248"/>
      <c r="B21" s="31" t="s">
        <v>136</v>
      </c>
      <c r="C21" s="20">
        <f>+'05'!C21</f>
        <v>0</v>
      </c>
      <c r="D21" s="20">
        <f>+'05'!D21</f>
        <v>0</v>
      </c>
      <c r="E21" s="20">
        <f>+'05'!E21</f>
        <v>0</v>
      </c>
      <c r="F21" s="20">
        <f>+'05'!F21</f>
        <v>0</v>
      </c>
      <c r="G21" s="20">
        <f>+'05'!G21</f>
        <v>0</v>
      </c>
      <c r="H21" s="20">
        <f>+'05'!H21</f>
        <v>0</v>
      </c>
      <c r="I21" s="20">
        <f>+'05'!I21</f>
        <v>0</v>
      </c>
      <c r="J21" s="20">
        <f>+'05'!J21</f>
        <v>0</v>
      </c>
      <c r="K21" s="20">
        <f>+'05'!K21</f>
        <v>0</v>
      </c>
      <c r="L21" s="20">
        <f>+'05'!L21</f>
        <v>0</v>
      </c>
      <c r="M21" s="20">
        <f>+'05'!M21</f>
        <v>0</v>
      </c>
      <c r="N21" s="20">
        <f>+'05'!N21</f>
        <v>1271</v>
      </c>
      <c r="O21" s="21">
        <f>SUM(C21:N21)</f>
        <v>1271</v>
      </c>
      <c r="V21" s="7"/>
      <c r="W21" s="8"/>
      <c r="X21" s="8"/>
    </row>
    <row r="22" spans="1:24" ht="17.25" customHeight="1" x14ac:dyDescent="0.25">
      <c r="A22" s="248"/>
      <c r="B22" s="7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49"/>
      <c r="B23" s="75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50" t="s">
        <v>34</v>
      </c>
      <c r="B24" s="251"/>
      <c r="C24" s="252"/>
      <c r="D24" s="275" t="str">
        <f>'SET SP Sta.Mría'!$G13</f>
        <v>Entre 80% y 100%</v>
      </c>
      <c r="E24" s="276"/>
      <c r="F24" s="276"/>
      <c r="G24" s="277"/>
      <c r="H24" s="239" t="str">
        <f>'SET SP Sta.Mría'!$H13</f>
        <v>Entre 60% y 79%</v>
      </c>
      <c r="I24" s="240"/>
      <c r="J24" s="240"/>
      <c r="K24" s="241"/>
      <c r="L24" s="239" t="str">
        <f>'SET SP Sta.Mría'!$I13</f>
        <v>Menor al 59%</v>
      </c>
      <c r="M24" s="244"/>
      <c r="N24" s="244"/>
      <c r="O24" s="245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64.75" customHeight="1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8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9.5" customHeight="1" x14ac:dyDescent="0.25">
      <c r="A29" s="165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8.75" customHeight="1" x14ac:dyDescent="0.2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8" customHeight="1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8" customHeight="1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9.5" customHeight="1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7.25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25.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15" x14ac:dyDescent="0.25">
      <c r="A42" s="165" t="s">
        <v>3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/>
      <c r="O42" s="211"/>
    </row>
    <row r="43" spans="1:17" ht="15.75" thickBot="1" x14ac:dyDescent="0.3">
      <c r="A43" s="269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1"/>
    </row>
    <row r="44" spans="1:17" ht="6" customHeight="1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0.92</v>
      </c>
    </row>
    <row r="61" spans="17:17" x14ac:dyDescent="0.25">
      <c r="Q61" s="9">
        <v>1</v>
      </c>
    </row>
  </sheetData>
  <mergeCells count="76">
    <mergeCell ref="A44:O44"/>
    <mergeCell ref="A6:E6"/>
    <mergeCell ref="F6:O6"/>
    <mergeCell ref="A1:C4"/>
    <mergeCell ref="D1:O1"/>
    <mergeCell ref="D4:O4"/>
    <mergeCell ref="A13:O13"/>
    <mergeCell ref="I9:I10"/>
    <mergeCell ref="A7:E7"/>
    <mergeCell ref="A5:E5"/>
    <mergeCell ref="F5:O5"/>
    <mergeCell ref="N10:O10"/>
    <mergeCell ref="F7:O7"/>
    <mergeCell ref="J9:K10"/>
    <mergeCell ref="L9:O9"/>
    <mergeCell ref="L10:M10"/>
    <mergeCell ref="A8:E8"/>
    <mergeCell ref="A9:D10"/>
    <mergeCell ref="E9:E10"/>
    <mergeCell ref="F9:G10"/>
    <mergeCell ref="H9:H10"/>
    <mergeCell ref="G8:O8"/>
    <mergeCell ref="A43:M43"/>
    <mergeCell ref="N43:O43"/>
    <mergeCell ref="A18:B18"/>
    <mergeCell ref="A19:B19"/>
    <mergeCell ref="A20:A23"/>
    <mergeCell ref="L24:O24"/>
    <mergeCell ref="D25:G25"/>
    <mergeCell ref="H25:K25"/>
    <mergeCell ref="L25:O25"/>
    <mergeCell ref="A26:O26"/>
    <mergeCell ref="A27:O27"/>
    <mergeCell ref="H24:K24"/>
    <mergeCell ref="A24:C25"/>
    <mergeCell ref="D24:G24"/>
    <mergeCell ref="A41:M41"/>
    <mergeCell ref="N41:O41"/>
    <mergeCell ref="A42:M42"/>
    <mergeCell ref="N42:O42"/>
    <mergeCell ref="J11:O11"/>
    <mergeCell ref="A28:M28"/>
    <mergeCell ref="N28:O28"/>
    <mergeCell ref="A17:B17"/>
    <mergeCell ref="A14:O14"/>
    <mergeCell ref="A15:O15"/>
    <mergeCell ref="A16:B16"/>
    <mergeCell ref="A11:D11"/>
    <mergeCell ref="F11:G11"/>
    <mergeCell ref="A12:O12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D2:O2"/>
    <mergeCell ref="D3:O3"/>
    <mergeCell ref="A40:M40"/>
    <mergeCell ref="N40:O40"/>
    <mergeCell ref="A37:M37"/>
    <mergeCell ref="N37:O37"/>
    <mergeCell ref="A38:M38"/>
    <mergeCell ref="N38:O38"/>
    <mergeCell ref="A39:M39"/>
    <mergeCell ref="N39:O39"/>
    <mergeCell ref="A34:M34"/>
    <mergeCell ref="N34:O34"/>
    <mergeCell ref="A35:M35"/>
    <mergeCell ref="N35:O35"/>
    <mergeCell ref="A36:M36"/>
    <mergeCell ref="N36:O36"/>
  </mergeCells>
  <dataValidations count="1">
    <dataValidation type="list" allowBlank="1" showInputMessage="1" showErrorMessage="1" sqref="J11:O11" xr:uid="{00000000-0002-0000-06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X61"/>
  <sheetViews>
    <sheetView topLeftCell="A11" zoomScaleSheetLayoutView="72" workbookViewId="0">
      <selection activeCell="D20" sqref="D2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.28515625" style="2" customWidth="1"/>
    <col min="17" max="18" width="7.28515625" style="2" hidden="1" customWidth="1"/>
    <col min="19" max="19" width="7.28515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2.7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2.75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.7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0.5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Sta.Mría'!$B14</f>
        <v xml:space="preserve">Cobertura   (Servicio de Aseo) 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Sta.Mría'!F14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Sta.Mría'!A14</f>
        <v>IN07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47.25" customHeight="1" thickBot="1" x14ac:dyDescent="0.3">
      <c r="A11" s="212" t="str">
        <f>'SET SP Sta.Mría'!$C14</f>
        <v xml:space="preserve">Medir el grado de cobertura en   la prestación del servicio de aseo administrado  por Aguas del Huila. </v>
      </c>
      <c r="B11" s="213"/>
      <c r="C11" s="213"/>
      <c r="D11" s="213"/>
      <c r="E11" s="14" t="s">
        <v>35</v>
      </c>
      <c r="F11" s="213" t="str">
        <f>'SET SP Sta.Mría'!$D14</f>
        <v xml:space="preserve">(Residuos sólidos recolectada / Residuos sólidos producidos) x 100%           </v>
      </c>
      <c r="G11" s="213"/>
      <c r="H11" s="19">
        <f>$O18</f>
        <v>1</v>
      </c>
      <c r="I11" s="13" t="str">
        <f>'SET SP Sta.Mría'!$E14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18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72" t="s">
        <v>31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4"/>
      <c r="V14" s="7"/>
      <c r="W14" s="6"/>
      <c r="X14" s="6"/>
    </row>
    <row r="15" spans="1:24" ht="16.5" customHeight="1" x14ac:dyDescent="0.25">
      <c r="A15" s="231" t="str">
        <f>+'06'!A15:O15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55">
        <f t="shared" ref="C17:N17" si="0">$O$17</f>
        <v>0.92</v>
      </c>
      <c r="D17" s="55">
        <f t="shared" si="0"/>
        <v>0.92</v>
      </c>
      <c r="E17" s="55">
        <f t="shared" si="0"/>
        <v>0.92</v>
      </c>
      <c r="F17" s="55">
        <f t="shared" si="0"/>
        <v>0.92</v>
      </c>
      <c r="G17" s="55">
        <f t="shared" si="0"/>
        <v>0.92</v>
      </c>
      <c r="H17" s="55">
        <f t="shared" si="0"/>
        <v>0.92</v>
      </c>
      <c r="I17" s="55">
        <f t="shared" si="0"/>
        <v>0.92</v>
      </c>
      <c r="J17" s="55">
        <f t="shared" si="0"/>
        <v>0.92</v>
      </c>
      <c r="K17" s="55">
        <f t="shared" si="0"/>
        <v>0.92</v>
      </c>
      <c r="L17" s="55">
        <f t="shared" si="0"/>
        <v>0.92</v>
      </c>
      <c r="M17" s="55">
        <f t="shared" si="0"/>
        <v>0.92</v>
      </c>
      <c r="N17" s="55">
        <f t="shared" si="0"/>
        <v>0.92</v>
      </c>
      <c r="O17" s="94">
        <f>'SET SP Sta.Mría'!J14</f>
        <v>0.92</v>
      </c>
      <c r="V17" s="7"/>
      <c r="W17" s="8"/>
      <c r="X17" s="8"/>
    </row>
    <row r="18" spans="1:24" ht="17.25" customHeight="1" x14ac:dyDescent="0.25">
      <c r="A18" s="242" t="str">
        <f>+'06'!A18:B18</f>
        <v>META  AÑO 2025</v>
      </c>
      <c r="B18" s="243"/>
      <c r="C18" s="55">
        <f t="shared" ref="C18:N18" si="1">$O$18</f>
        <v>1</v>
      </c>
      <c r="D18" s="55">
        <f t="shared" si="1"/>
        <v>1</v>
      </c>
      <c r="E18" s="55">
        <f t="shared" si="1"/>
        <v>1</v>
      </c>
      <c r="F18" s="55">
        <f t="shared" si="1"/>
        <v>1</v>
      </c>
      <c r="G18" s="55">
        <f t="shared" si="1"/>
        <v>1</v>
      </c>
      <c r="H18" s="55">
        <f t="shared" si="1"/>
        <v>1</v>
      </c>
      <c r="I18" s="55">
        <f t="shared" si="1"/>
        <v>1</v>
      </c>
      <c r="J18" s="55">
        <f t="shared" si="1"/>
        <v>1</v>
      </c>
      <c r="K18" s="55">
        <f t="shared" si="1"/>
        <v>1</v>
      </c>
      <c r="L18" s="55">
        <f t="shared" si="1"/>
        <v>1</v>
      </c>
      <c r="M18" s="55">
        <f t="shared" si="1"/>
        <v>1</v>
      </c>
      <c r="N18" s="55">
        <f t="shared" si="1"/>
        <v>1</v>
      </c>
      <c r="O18" s="94">
        <f>'SET SP Sta.Mría'!K14</f>
        <v>1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60" t="str">
        <f>IF(ISNUMBER(C21),C20/C21,"-")</f>
        <v>-</v>
      </c>
      <c r="D19" s="60" t="str">
        <f t="shared" ref="D19:O19" si="2">IF(ISNUMBER(D21),D20/D21,"-")</f>
        <v>-</v>
      </c>
      <c r="E19" s="60" t="str">
        <f t="shared" si="2"/>
        <v>-</v>
      </c>
      <c r="F19" s="60" t="str">
        <f t="shared" si="2"/>
        <v>-</v>
      </c>
      <c r="G19" s="60" t="str">
        <f t="shared" si="2"/>
        <v>-</v>
      </c>
      <c r="H19" s="60" t="str">
        <f t="shared" si="2"/>
        <v>-</v>
      </c>
      <c r="I19" s="60" t="str">
        <f t="shared" si="2"/>
        <v>-</v>
      </c>
      <c r="J19" s="60" t="str">
        <f t="shared" si="2"/>
        <v>-</v>
      </c>
      <c r="K19" s="60" t="str">
        <f t="shared" si="2"/>
        <v>-</v>
      </c>
      <c r="L19" s="60" t="str">
        <f t="shared" si="2"/>
        <v>-</v>
      </c>
      <c r="M19" s="60" t="str">
        <f t="shared" si="2"/>
        <v>-</v>
      </c>
      <c r="N19" s="60" t="e">
        <f t="shared" si="2"/>
        <v>#DIV/0!</v>
      </c>
      <c r="O19" s="61" t="str">
        <f t="shared" si="2"/>
        <v>-</v>
      </c>
      <c r="V19" s="7"/>
      <c r="W19" s="8"/>
      <c r="X19" s="8"/>
    </row>
    <row r="20" spans="1:24" ht="17.25" customHeight="1" x14ac:dyDescent="0.25">
      <c r="A20" s="248" t="s">
        <v>37</v>
      </c>
      <c r="B20" s="31" t="s">
        <v>137</v>
      </c>
      <c r="C20" s="59">
        <f>'STA MARIA2020'!D$36</f>
        <v>0</v>
      </c>
      <c r="D20" s="59">
        <f>'STA MARIA2020'!E$36</f>
        <v>0</v>
      </c>
      <c r="E20" s="59">
        <f>'STA MARIA2020'!F$36</f>
        <v>0</v>
      </c>
      <c r="F20" s="59">
        <f>'STA MARIA2020'!G$36</f>
        <v>0</v>
      </c>
      <c r="G20" s="59">
        <f>'STA MARIA2020'!H$36</f>
        <v>0</v>
      </c>
      <c r="H20" s="59">
        <f>'STA MARIA2020'!I$36</f>
        <v>0</v>
      </c>
      <c r="I20" s="59">
        <f>'STA MARIA2020'!J$36</f>
        <v>0</v>
      </c>
      <c r="J20" s="59">
        <f>'STA MARIA2020'!K$36</f>
        <v>0</v>
      </c>
      <c r="K20" s="59">
        <f>'STA MARIA2020'!L$36</f>
        <v>0</v>
      </c>
      <c r="L20" s="59">
        <f>'STA MARIA2020'!M$36</f>
        <v>0</v>
      </c>
      <c r="M20" s="59">
        <f>'STA MARIA2020'!N$36</f>
        <v>0</v>
      </c>
      <c r="N20" s="59">
        <f>'STA MARIA2020'!O$36</f>
        <v>0</v>
      </c>
      <c r="O20" s="16">
        <f>SUM(C20:N20)</f>
        <v>0</v>
      </c>
      <c r="V20" s="7"/>
      <c r="W20" s="8"/>
      <c r="X20" s="8"/>
    </row>
    <row r="21" spans="1:24" ht="17.25" customHeight="1" x14ac:dyDescent="0.25">
      <c r="A21" s="248"/>
      <c r="B21" s="31" t="s">
        <v>138</v>
      </c>
      <c r="C21" s="59" t="e">
        <f>IF(('STA MARIA2020'!D55),C20/'STA MARIA2020'!D55,"0")</f>
        <v>#VALUE!</v>
      </c>
      <c r="D21" s="59" t="e">
        <f>IF(('STA MARIA2020'!E55),D20/'STA MARIA2020'!E55,"0")</f>
        <v>#VALUE!</v>
      </c>
      <c r="E21" s="59" t="e">
        <f>IF(('STA MARIA2020'!F55),E20/'STA MARIA2020'!F55,"0")</f>
        <v>#VALUE!</v>
      </c>
      <c r="F21" s="59" t="e">
        <f>IF(('STA MARIA2020'!G55),F20/'STA MARIA2020'!G55,"0")</f>
        <v>#VALUE!</v>
      </c>
      <c r="G21" s="59" t="e">
        <f>IF(('STA MARIA2020'!H55),G20/'STA MARIA2020'!H55,"0")</f>
        <v>#VALUE!</v>
      </c>
      <c r="H21" s="59" t="e">
        <f>IF(('STA MARIA2020'!I55),H20/'STA MARIA2020'!I55,"0")</f>
        <v>#VALUE!</v>
      </c>
      <c r="I21" s="59" t="e">
        <f>IF(('STA MARIA2020'!J55),I20/'STA MARIA2020'!J55,"0")</f>
        <v>#VALUE!</v>
      </c>
      <c r="J21" s="59" t="e">
        <f>IF(('STA MARIA2020'!K55),J20/'STA MARIA2020'!K55,"0")</f>
        <v>#VALUE!</v>
      </c>
      <c r="K21" s="59" t="e">
        <f>IF(('STA MARIA2020'!L55),K20/'STA MARIA2020'!L55,"0")</f>
        <v>#VALUE!</v>
      </c>
      <c r="L21" s="59" t="e">
        <f>IF(('STA MARIA2020'!M55),L20/'STA MARIA2020'!M55,"0")</f>
        <v>#VALUE!</v>
      </c>
      <c r="M21" s="59" t="e">
        <f>IF(('STA MARIA2020'!N55),M20/'STA MARIA2020'!N55,"0")</f>
        <v>#VALUE!</v>
      </c>
      <c r="N21" s="59">
        <f>IF(('STA MARIA2020'!O55),N20/'STA MARIA2020'!O55,"0")</f>
        <v>0</v>
      </c>
      <c r="O21" s="16" t="e">
        <f>SUM(C21:N21)</f>
        <v>#VALUE!</v>
      </c>
      <c r="V21" s="7"/>
      <c r="W21" s="8"/>
      <c r="X21" s="8"/>
    </row>
    <row r="22" spans="1:24" ht="15" customHeight="1" x14ac:dyDescent="0.25">
      <c r="A22" s="278"/>
      <c r="B22" s="4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8"/>
      <c r="V22" s="7"/>
      <c r="W22" s="8"/>
      <c r="X22" s="8"/>
    </row>
    <row r="23" spans="1:24" ht="13.5" customHeight="1" thickBot="1" x14ac:dyDescent="0.3">
      <c r="A23" s="249"/>
      <c r="B23" s="75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50" t="s">
        <v>34</v>
      </c>
      <c r="B24" s="251"/>
      <c r="C24" s="252"/>
      <c r="D24" s="239" t="str">
        <f>'SET SP Sta.Mría'!$G14</f>
        <v>Entre 80% y 100%</v>
      </c>
      <c r="E24" s="240"/>
      <c r="F24" s="240"/>
      <c r="G24" s="241"/>
      <c r="H24" s="239" t="str">
        <f>'SET SP Sta.Mría'!$H14</f>
        <v>Entre 60% y 79%</v>
      </c>
      <c r="I24" s="240"/>
      <c r="J24" s="240"/>
      <c r="K24" s="241"/>
      <c r="L24" s="239" t="str">
        <f>'SET SP Sta.Mría'!$I14</f>
        <v>Menor al 59%</v>
      </c>
      <c r="M24" s="244"/>
      <c r="N24" s="244"/>
      <c r="O24" s="245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64.75" customHeight="1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8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5" customHeight="1" x14ac:dyDescent="0.25">
      <c r="A29" s="165" t="s">
        <v>266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5" customHeight="1" x14ac:dyDescent="0.25">
      <c r="A30" s="165" t="s">
        <v>266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5" customHeight="1" x14ac:dyDescent="0.25">
      <c r="A31" s="165" t="s">
        <v>266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5" customHeight="1" x14ac:dyDescent="0.25">
      <c r="A32" s="165" t="s">
        <v>266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5" customHeight="1" x14ac:dyDescent="0.25">
      <c r="A33" s="165" t="s">
        <v>266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5" customHeight="1" x14ac:dyDescent="0.25">
      <c r="A34" s="165" t="s">
        <v>266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25.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15" x14ac:dyDescent="0.25">
      <c r="A42" s="165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/>
      <c r="O42" s="211"/>
    </row>
    <row r="43" spans="1:17" ht="15.75" thickBot="1" x14ac:dyDescent="0.3">
      <c r="A43" s="269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1"/>
    </row>
    <row r="44" spans="1:17" ht="6" customHeight="1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22">
        <v>0.92</v>
      </c>
    </row>
    <row r="61" spans="17:17" x14ac:dyDescent="0.25">
      <c r="Q61" s="22">
        <v>1</v>
      </c>
    </row>
  </sheetData>
  <mergeCells count="76">
    <mergeCell ref="A44:O44"/>
    <mergeCell ref="N10:O10"/>
    <mergeCell ref="A11:D11"/>
    <mergeCell ref="F11:G11"/>
    <mergeCell ref="L24:O24"/>
    <mergeCell ref="D25:G25"/>
    <mergeCell ref="H25:K25"/>
    <mergeCell ref="H24:K24"/>
    <mergeCell ref="A24:C25"/>
    <mergeCell ref="D24:G24"/>
    <mergeCell ref="I9:I10"/>
    <mergeCell ref="A41:M41"/>
    <mergeCell ref="N41:O41"/>
    <mergeCell ref="A42:M42"/>
    <mergeCell ref="N42:O42"/>
    <mergeCell ref="A28:M28"/>
    <mergeCell ref="A7:E7"/>
    <mergeCell ref="A18:B18"/>
    <mergeCell ref="A19:B19"/>
    <mergeCell ref="A20:A23"/>
    <mergeCell ref="A17:B17"/>
    <mergeCell ref="A14:O14"/>
    <mergeCell ref="A15:O15"/>
    <mergeCell ref="A16:B16"/>
    <mergeCell ref="F7:O7"/>
    <mergeCell ref="A43:M43"/>
    <mergeCell ref="N43:O43"/>
    <mergeCell ref="D1:O1"/>
    <mergeCell ref="D4:O4"/>
    <mergeCell ref="A5:E5"/>
    <mergeCell ref="F5:O5"/>
    <mergeCell ref="A6:E6"/>
    <mergeCell ref="F6:O6"/>
    <mergeCell ref="A1:C4"/>
    <mergeCell ref="G8:O8"/>
    <mergeCell ref="A8:E8"/>
    <mergeCell ref="A9:D10"/>
    <mergeCell ref="E9:E10"/>
    <mergeCell ref="F9:G10"/>
    <mergeCell ref="H9:H10"/>
    <mergeCell ref="N34:O34"/>
    <mergeCell ref="A31:M31"/>
    <mergeCell ref="N31:O31"/>
    <mergeCell ref="A32:M32"/>
    <mergeCell ref="N32:O32"/>
    <mergeCell ref="A33:M33"/>
    <mergeCell ref="N33:O33"/>
    <mergeCell ref="N28:O28"/>
    <mergeCell ref="A29:M29"/>
    <mergeCell ref="N29:O29"/>
    <mergeCell ref="A30:M30"/>
    <mergeCell ref="N30:O30"/>
    <mergeCell ref="A40:M40"/>
    <mergeCell ref="N40:O40"/>
    <mergeCell ref="A37:M37"/>
    <mergeCell ref="N37:O37"/>
    <mergeCell ref="A38:M38"/>
    <mergeCell ref="N38:O38"/>
    <mergeCell ref="A39:M39"/>
    <mergeCell ref="N39:O39"/>
    <mergeCell ref="D2:O2"/>
    <mergeCell ref="D3:O3"/>
    <mergeCell ref="A35:M35"/>
    <mergeCell ref="N35:O35"/>
    <mergeCell ref="A36:M36"/>
    <mergeCell ref="N36:O36"/>
    <mergeCell ref="A34:M34"/>
    <mergeCell ref="J9:K10"/>
    <mergeCell ref="L9:O9"/>
    <mergeCell ref="L10:M10"/>
    <mergeCell ref="A12:O12"/>
    <mergeCell ref="J11:O11"/>
    <mergeCell ref="A27:O27"/>
    <mergeCell ref="L25:O25"/>
    <mergeCell ref="A26:O26"/>
    <mergeCell ref="A13:O13"/>
  </mergeCells>
  <dataValidations count="1">
    <dataValidation type="list" allowBlank="1" showInputMessage="1" showErrorMessage="1" sqref="J11:O11" xr:uid="{00000000-0002-0000-07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X61"/>
  <sheetViews>
    <sheetView topLeftCell="A10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8" style="2" customWidth="1"/>
    <col min="17" max="18" width="8" style="2" hidden="1" customWidth="1"/>
    <col min="19" max="19" width="8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75"/>
      <c r="B1" s="176"/>
      <c r="C1" s="176"/>
      <c r="D1" s="169" t="s">
        <v>182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</row>
    <row r="2" spans="1:24" ht="13.5" customHeight="1" x14ac:dyDescent="0.25">
      <c r="A2" s="177"/>
      <c r="B2" s="178"/>
      <c r="C2" s="178"/>
      <c r="D2" s="282" t="s">
        <v>276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4"/>
    </row>
    <row r="3" spans="1:24" ht="15" customHeight="1" x14ac:dyDescent="0.25">
      <c r="A3" s="177"/>
      <c r="B3" s="178"/>
      <c r="C3" s="178"/>
      <c r="D3" s="285" t="s">
        <v>20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1:24" ht="12" customHeight="1" thickBot="1" x14ac:dyDescent="0.3">
      <c r="A4" s="179"/>
      <c r="B4" s="180"/>
      <c r="C4" s="180"/>
      <c r="D4" s="172" t="s">
        <v>277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4"/>
    </row>
    <row r="5" spans="1:24" ht="13.5" customHeight="1" x14ac:dyDescent="0.25">
      <c r="A5" s="181" t="s">
        <v>0</v>
      </c>
      <c r="B5" s="182"/>
      <c r="C5" s="182"/>
      <c r="D5" s="182"/>
      <c r="E5" s="182"/>
      <c r="F5" s="182" t="str">
        <f>'SET SP Sta.Mría'!J5</f>
        <v>GESTIÓN DE SERVICIOS PÚBLICOS - SANTA MARÍA</v>
      </c>
      <c r="G5" s="182"/>
      <c r="H5" s="182"/>
      <c r="I5" s="182"/>
      <c r="J5" s="182"/>
      <c r="K5" s="182"/>
      <c r="L5" s="182"/>
      <c r="M5" s="182"/>
      <c r="N5" s="182"/>
      <c r="O5" s="183"/>
    </row>
    <row r="6" spans="1:24" ht="15.75" customHeight="1" x14ac:dyDescent="0.25">
      <c r="A6" s="184" t="s">
        <v>1</v>
      </c>
      <c r="B6" s="185"/>
      <c r="C6" s="185"/>
      <c r="D6" s="185"/>
      <c r="E6" s="185"/>
      <c r="F6" s="186" t="str">
        <f>'SET SP Sta.Mría'!$B15</f>
        <v>Cobertura de medición</v>
      </c>
      <c r="G6" s="186"/>
      <c r="H6" s="186"/>
      <c r="I6" s="186"/>
      <c r="J6" s="186"/>
      <c r="K6" s="186"/>
      <c r="L6" s="186"/>
      <c r="M6" s="186"/>
      <c r="N6" s="186"/>
      <c r="O6" s="258"/>
    </row>
    <row r="7" spans="1:24" ht="15.75" customHeight="1" x14ac:dyDescent="0.25">
      <c r="A7" s="184" t="s">
        <v>55</v>
      </c>
      <c r="B7" s="185"/>
      <c r="C7" s="185"/>
      <c r="D7" s="185"/>
      <c r="E7" s="185"/>
      <c r="F7" s="203" t="str">
        <f>'SET SP Sta.Mría'!F15</f>
        <v xml:space="preserve">Eficiencia </v>
      </c>
      <c r="G7" s="204"/>
      <c r="H7" s="204"/>
      <c r="I7" s="204"/>
      <c r="J7" s="204"/>
      <c r="K7" s="204"/>
      <c r="L7" s="204"/>
      <c r="M7" s="204"/>
      <c r="N7" s="204"/>
      <c r="O7" s="205"/>
    </row>
    <row r="8" spans="1:24" ht="17.25" customHeight="1" thickBot="1" x14ac:dyDescent="0.3">
      <c r="A8" s="189" t="s">
        <v>21</v>
      </c>
      <c r="B8" s="190"/>
      <c r="C8" s="190"/>
      <c r="D8" s="190"/>
      <c r="E8" s="190"/>
      <c r="F8" s="23" t="s">
        <v>93</v>
      </c>
      <c r="G8" s="191" t="str">
        <f>'SET SP Sta.Mría'!A15</f>
        <v>IN08</v>
      </c>
      <c r="H8" s="191"/>
      <c r="I8" s="191"/>
      <c r="J8" s="191"/>
      <c r="K8" s="191"/>
      <c r="L8" s="191"/>
      <c r="M8" s="191"/>
      <c r="N8" s="191"/>
      <c r="O8" s="262"/>
    </row>
    <row r="9" spans="1:24" ht="12.75" customHeight="1" x14ac:dyDescent="0.25">
      <c r="A9" s="194" t="s">
        <v>22</v>
      </c>
      <c r="B9" s="195"/>
      <c r="C9" s="195"/>
      <c r="D9" s="195"/>
      <c r="E9" s="198" t="s">
        <v>23</v>
      </c>
      <c r="F9" s="198" t="s">
        <v>24</v>
      </c>
      <c r="G9" s="198"/>
      <c r="H9" s="198" t="s">
        <v>25</v>
      </c>
      <c r="I9" s="198" t="s">
        <v>26</v>
      </c>
      <c r="J9" s="198" t="s">
        <v>27</v>
      </c>
      <c r="K9" s="198"/>
      <c r="L9" s="200" t="s">
        <v>28</v>
      </c>
      <c r="M9" s="200"/>
      <c r="N9" s="200"/>
      <c r="O9" s="201"/>
    </row>
    <row r="10" spans="1:24" ht="46.5" customHeight="1" x14ac:dyDescent="0.25">
      <c r="A10" s="196"/>
      <c r="B10" s="197"/>
      <c r="C10" s="197"/>
      <c r="D10" s="197"/>
      <c r="E10" s="199"/>
      <c r="F10" s="199"/>
      <c r="G10" s="199"/>
      <c r="H10" s="199"/>
      <c r="I10" s="199"/>
      <c r="J10" s="199"/>
      <c r="K10" s="199"/>
      <c r="L10" s="197" t="s">
        <v>29</v>
      </c>
      <c r="M10" s="197"/>
      <c r="N10" s="197" t="s">
        <v>30</v>
      </c>
      <c r="O10" s="202"/>
    </row>
    <row r="11" spans="1:24" ht="58.5" customHeight="1" thickBot="1" x14ac:dyDescent="0.3">
      <c r="A11" s="212" t="str">
        <f>'SET SP Sta.Mría'!$C15</f>
        <v>Lograr que los suscriptores del servicio de acueducto de Aguas del Huila, tengan su instrumento medición.</v>
      </c>
      <c r="B11" s="213"/>
      <c r="C11" s="213"/>
      <c r="D11" s="213"/>
      <c r="E11" s="14" t="s">
        <v>35</v>
      </c>
      <c r="F11" s="279" t="str">
        <f>'SET SP Sta.Mría'!$D15</f>
        <v xml:space="preserve">(Número de Medidores en servicio / Número de Suscriptores) x 100%          </v>
      </c>
      <c r="G11" s="280"/>
      <c r="H11" s="19">
        <f>$O18</f>
        <v>0.95</v>
      </c>
      <c r="I11" s="13" t="str">
        <f>'SET SP Sta.Mría'!$E15</f>
        <v>Trimestral</v>
      </c>
      <c r="J11" s="214" t="s">
        <v>88</v>
      </c>
      <c r="K11" s="215"/>
      <c r="L11" s="215"/>
      <c r="M11" s="215"/>
      <c r="N11" s="215"/>
      <c r="O11" s="216"/>
    </row>
    <row r="12" spans="1:24" ht="13.5" customHeight="1" x14ac:dyDescent="0.25">
      <c r="A12" s="222" t="s">
        <v>38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24" ht="24.75" customHeight="1" thickBot="1" x14ac:dyDescent="0.3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7"/>
    </row>
    <row r="14" spans="1:24" ht="15" customHeight="1" thickBot="1" x14ac:dyDescent="0.3">
      <c r="A14" s="272" t="s">
        <v>31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4"/>
      <c r="V14" s="7"/>
      <c r="W14" s="6"/>
      <c r="X14" s="6"/>
    </row>
    <row r="15" spans="1:24" ht="16.5" customHeight="1" x14ac:dyDescent="0.25">
      <c r="A15" s="231" t="str">
        <f>+'07'!A15:O15</f>
        <v>VIGENCIA 2025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/>
      <c r="V15" s="7"/>
      <c r="W15" s="8"/>
      <c r="X15" s="8"/>
    </row>
    <row r="16" spans="1:24" ht="16.5" customHeight="1" x14ac:dyDescent="0.25">
      <c r="A16" s="234" t="s">
        <v>32</v>
      </c>
      <c r="B16" s="235"/>
      <c r="C16" s="74" t="s">
        <v>8</v>
      </c>
      <c r="D16" s="74" t="s">
        <v>9</v>
      </c>
      <c r="E16" s="74" t="s">
        <v>10</v>
      </c>
      <c r="F16" s="74" t="s">
        <v>11</v>
      </c>
      <c r="G16" s="74" t="s">
        <v>12</v>
      </c>
      <c r="H16" s="74" t="s">
        <v>13</v>
      </c>
      <c r="I16" s="74" t="s">
        <v>14</v>
      </c>
      <c r="J16" s="74" t="s">
        <v>15</v>
      </c>
      <c r="K16" s="74" t="s">
        <v>16</v>
      </c>
      <c r="L16" s="74" t="s">
        <v>17</v>
      </c>
      <c r="M16" s="74" t="s">
        <v>18</v>
      </c>
      <c r="N16" s="7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42" t="s">
        <v>39</v>
      </c>
      <c r="B17" s="243"/>
      <c r="C17" s="55">
        <f t="shared" ref="C17:N17" si="0">$O$17</f>
        <v>0.93</v>
      </c>
      <c r="D17" s="55">
        <f t="shared" si="0"/>
        <v>0.93</v>
      </c>
      <c r="E17" s="55">
        <f t="shared" si="0"/>
        <v>0.93</v>
      </c>
      <c r="F17" s="55">
        <f t="shared" si="0"/>
        <v>0.93</v>
      </c>
      <c r="G17" s="55">
        <f t="shared" si="0"/>
        <v>0.93</v>
      </c>
      <c r="H17" s="55">
        <f t="shared" si="0"/>
        <v>0.93</v>
      </c>
      <c r="I17" s="55">
        <f t="shared" si="0"/>
        <v>0.93</v>
      </c>
      <c r="J17" s="55">
        <f t="shared" si="0"/>
        <v>0.93</v>
      </c>
      <c r="K17" s="55">
        <f t="shared" si="0"/>
        <v>0.93</v>
      </c>
      <c r="L17" s="55">
        <f t="shared" si="0"/>
        <v>0.93</v>
      </c>
      <c r="M17" s="55">
        <f t="shared" si="0"/>
        <v>0.93</v>
      </c>
      <c r="N17" s="55">
        <f t="shared" si="0"/>
        <v>0.93</v>
      </c>
      <c r="O17" s="93">
        <f>'SET SP Sta.Mría'!J15</f>
        <v>0.93</v>
      </c>
      <c r="V17" s="7"/>
      <c r="W17" s="8"/>
      <c r="X17" s="8"/>
    </row>
    <row r="18" spans="1:24" ht="17.25" customHeight="1" x14ac:dyDescent="0.25">
      <c r="A18" s="242" t="str">
        <f>+'07'!A18:B18</f>
        <v>META  AÑO 2025</v>
      </c>
      <c r="B18" s="243"/>
      <c r="C18" s="55">
        <f t="shared" ref="C18:N18" si="1">$O$18</f>
        <v>0.95</v>
      </c>
      <c r="D18" s="55">
        <f t="shared" si="1"/>
        <v>0.95</v>
      </c>
      <c r="E18" s="55">
        <f t="shared" si="1"/>
        <v>0.95</v>
      </c>
      <c r="F18" s="55">
        <f t="shared" si="1"/>
        <v>0.95</v>
      </c>
      <c r="G18" s="55">
        <f t="shared" si="1"/>
        <v>0.95</v>
      </c>
      <c r="H18" s="55">
        <f t="shared" si="1"/>
        <v>0.95</v>
      </c>
      <c r="I18" s="55">
        <f t="shared" si="1"/>
        <v>0.95</v>
      </c>
      <c r="J18" s="55">
        <f t="shared" si="1"/>
        <v>0.95</v>
      </c>
      <c r="K18" s="55">
        <f t="shared" si="1"/>
        <v>0.95</v>
      </c>
      <c r="L18" s="55">
        <f t="shared" si="1"/>
        <v>0.95</v>
      </c>
      <c r="M18" s="55">
        <f t="shared" si="1"/>
        <v>0.95</v>
      </c>
      <c r="N18" s="55">
        <f t="shared" si="1"/>
        <v>0.95</v>
      </c>
      <c r="O18" s="93">
        <f>'SET SP Sta.Mría'!K15</f>
        <v>0.95</v>
      </c>
      <c r="V18" s="7"/>
      <c r="W18" s="8"/>
      <c r="X18" s="8"/>
    </row>
    <row r="19" spans="1:24" ht="17.25" customHeight="1" x14ac:dyDescent="0.25">
      <c r="A19" s="246" t="s">
        <v>261</v>
      </c>
      <c r="B19" s="247"/>
      <c r="C19" s="10">
        <f t="shared" ref="C19:E19" si="2">IF((C21),C20/C21,"-")</f>
        <v>0.98562300319488816</v>
      </c>
      <c r="D19" s="10">
        <f t="shared" si="2"/>
        <v>0.99044585987261147</v>
      </c>
      <c r="E19" s="10">
        <f t="shared" si="2"/>
        <v>0.9912698412698413</v>
      </c>
      <c r="F19" s="10">
        <f>IF((F21),F20/F21,"-")</f>
        <v>0.98735177865612644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0</v>
      </c>
      <c r="O19" s="11" t="e">
        <f t="shared" si="3"/>
        <v>#REF!</v>
      </c>
      <c r="V19" s="7"/>
      <c r="W19" s="8"/>
      <c r="X19" s="8"/>
    </row>
    <row r="20" spans="1:24" ht="16.5" customHeight="1" x14ac:dyDescent="0.25">
      <c r="A20" s="248" t="s">
        <v>37</v>
      </c>
      <c r="B20" s="31" t="s">
        <v>139</v>
      </c>
      <c r="C20" s="20">
        <f>+'STA MARIA2020'!D38</f>
        <v>1234</v>
      </c>
      <c r="D20" s="20">
        <f>+'STA MARIA2020'!E38</f>
        <v>1244</v>
      </c>
      <c r="E20" s="20">
        <f>+'STA MARIA2020'!F38</f>
        <v>1249</v>
      </c>
      <c r="F20" s="20">
        <f>+'STA MARIA2020'!G38</f>
        <v>1249</v>
      </c>
      <c r="G20" s="20">
        <f>+'STA MARIA2020'!H38</f>
        <v>0</v>
      </c>
      <c r="H20" s="20">
        <f>+'STA MARIA2020'!I38</f>
        <v>0</v>
      </c>
      <c r="I20" s="20">
        <f>+'STA MARIA2020'!J38</f>
        <v>0</v>
      </c>
      <c r="J20" s="20">
        <f>+'STA MARIA2020'!K38</f>
        <v>0</v>
      </c>
      <c r="K20" s="20" t="e">
        <f>+'STA MARIA2020'!#REF!</f>
        <v>#REF!</v>
      </c>
      <c r="L20" s="20">
        <f>+'STA MARIA2020'!M38</f>
        <v>0</v>
      </c>
      <c r="M20" s="20">
        <f>+'STA MARIA2020'!N38</f>
        <v>0</v>
      </c>
      <c r="N20" s="20">
        <f>+'STA MARIA2020'!O38</f>
        <v>0</v>
      </c>
      <c r="O20" s="21" t="e">
        <f>SUM(C20:N20)</f>
        <v>#REF!</v>
      </c>
      <c r="V20" s="7"/>
      <c r="W20" s="8"/>
      <c r="X20" s="8"/>
    </row>
    <row r="21" spans="1:24" ht="14.25" customHeight="1" x14ac:dyDescent="0.25">
      <c r="A21" s="248"/>
      <c r="B21" s="31" t="s">
        <v>135</v>
      </c>
      <c r="C21" s="20">
        <f>+'05'!C20</f>
        <v>1252</v>
      </c>
      <c r="D21" s="20">
        <f>+'05'!D20</f>
        <v>1256</v>
      </c>
      <c r="E21" s="20">
        <f>+'05'!E20</f>
        <v>1260</v>
      </c>
      <c r="F21" s="20">
        <f>+'05'!F20</f>
        <v>1265</v>
      </c>
      <c r="G21" s="20">
        <f>+'05'!G20</f>
        <v>0</v>
      </c>
      <c r="H21" s="20">
        <f>+'05'!H20</f>
        <v>0</v>
      </c>
      <c r="I21" s="20">
        <f>+'05'!I20</f>
        <v>0</v>
      </c>
      <c r="J21" s="20">
        <f>+'05'!J20</f>
        <v>0</v>
      </c>
      <c r="K21" s="20">
        <f>+'05'!K20</f>
        <v>0</v>
      </c>
      <c r="L21" s="20">
        <f>+'05'!L20</f>
        <v>0</v>
      </c>
      <c r="M21" s="20">
        <f>+'05'!M20</f>
        <v>0</v>
      </c>
      <c r="N21" s="20">
        <f>+'05'!N20</f>
        <v>1270</v>
      </c>
      <c r="O21" s="21">
        <f>SUM(C21:N21)</f>
        <v>6303</v>
      </c>
      <c r="V21" s="7"/>
      <c r="W21" s="8"/>
      <c r="X21" s="8"/>
    </row>
    <row r="22" spans="1:24" ht="14.25" customHeight="1" x14ac:dyDescent="0.25">
      <c r="A22" s="278"/>
      <c r="B22" s="4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8"/>
      <c r="V22" s="7"/>
      <c r="W22" s="8"/>
      <c r="X22" s="8"/>
    </row>
    <row r="23" spans="1:24" ht="14.25" customHeight="1" thickBot="1" x14ac:dyDescent="0.3">
      <c r="A23" s="249"/>
      <c r="B23" s="75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50" t="s">
        <v>34</v>
      </c>
      <c r="B24" s="251"/>
      <c r="C24" s="252"/>
      <c r="D24" s="239" t="str">
        <f>'SET SP Sta.Mría'!$G15</f>
        <v>Entre 80% y 100%</v>
      </c>
      <c r="E24" s="240"/>
      <c r="F24" s="240"/>
      <c r="G24" s="241"/>
      <c r="H24" s="239" t="str">
        <f>'SET SP Sta.Mría'!$H15</f>
        <v>Entre 60% y 79%</v>
      </c>
      <c r="I24" s="240"/>
      <c r="J24" s="240"/>
      <c r="K24" s="241"/>
      <c r="L24" s="239" t="str">
        <f>'SET SP Sta.Mría'!$I15</f>
        <v>Menor al 59%</v>
      </c>
      <c r="M24" s="244"/>
      <c r="N24" s="244"/>
      <c r="O24" s="245"/>
      <c r="V24" s="7"/>
      <c r="W24" s="8"/>
      <c r="X24" s="8"/>
    </row>
    <row r="25" spans="1:24" ht="33" customHeight="1" thickBot="1" x14ac:dyDescent="0.3">
      <c r="A25" s="253"/>
      <c r="B25" s="254"/>
      <c r="C25" s="254"/>
      <c r="D25" s="255" t="s">
        <v>7</v>
      </c>
      <c r="E25" s="255"/>
      <c r="F25" s="255"/>
      <c r="G25" s="255"/>
      <c r="H25" s="256" t="s">
        <v>61</v>
      </c>
      <c r="I25" s="256"/>
      <c r="J25" s="256"/>
      <c r="K25" s="256"/>
      <c r="L25" s="217" t="s">
        <v>62</v>
      </c>
      <c r="M25" s="217"/>
      <c r="N25" s="217"/>
      <c r="O25" s="218"/>
      <c r="V25" s="7"/>
      <c r="W25" s="8"/>
      <c r="X25" s="8"/>
    </row>
    <row r="26" spans="1:24" ht="15.75" customHeight="1" thickBot="1" x14ac:dyDescent="0.3">
      <c r="A26" s="219" t="s">
        <v>36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1"/>
      <c r="V26" s="7"/>
      <c r="W26" s="8"/>
      <c r="X26" s="8"/>
    </row>
    <row r="27" spans="1:24" ht="264.75" customHeight="1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8"/>
      <c r="V27" s="7"/>
    </row>
    <row r="28" spans="1:24" ht="15" customHeight="1" x14ac:dyDescent="0.25">
      <c r="A28" s="206" t="s">
        <v>58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 t="s">
        <v>60</v>
      </c>
      <c r="O28" s="209"/>
    </row>
    <row r="29" spans="1:24" ht="15" customHeight="1" x14ac:dyDescent="0.25">
      <c r="A29" s="165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>
        <v>45658</v>
      </c>
      <c r="O29" s="168"/>
    </row>
    <row r="30" spans="1:24" ht="15" customHeight="1" x14ac:dyDescent="0.2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>
        <v>45689</v>
      </c>
      <c r="O30" s="168"/>
    </row>
    <row r="31" spans="1:24" ht="15" customHeight="1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>
        <v>45717</v>
      </c>
      <c r="O31" s="168"/>
    </row>
    <row r="32" spans="1:24" ht="15" customHeight="1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>
        <v>45748</v>
      </c>
      <c r="O32" s="168"/>
    </row>
    <row r="33" spans="1:17" ht="15" customHeight="1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>
        <v>45778</v>
      </c>
      <c r="O33" s="168"/>
    </row>
    <row r="34" spans="1:17" ht="15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7">
        <v>45809</v>
      </c>
      <c r="O34" s="168"/>
    </row>
    <row r="35" spans="1:17" ht="15" customHeight="1" x14ac:dyDescent="0.25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7">
        <v>45839</v>
      </c>
      <c r="O35" s="168"/>
    </row>
    <row r="36" spans="1:17" ht="15" customHeight="1" x14ac:dyDescent="0.25">
      <c r="A36" s="165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>
        <v>45870</v>
      </c>
      <c r="O36" s="168"/>
    </row>
    <row r="37" spans="1:17" ht="1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7">
        <v>45901</v>
      </c>
      <c r="O37" s="168"/>
    </row>
    <row r="38" spans="1:17" ht="15" customHeigh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>
        <v>45931</v>
      </c>
      <c r="O38" s="168"/>
    </row>
    <row r="39" spans="1:17" ht="15" customHeight="1" x14ac:dyDescent="0.25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7">
        <v>45962</v>
      </c>
      <c r="O39" s="168"/>
    </row>
    <row r="40" spans="1:17" ht="15" customHeight="1" thickBot="1" x14ac:dyDescent="0.3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7">
        <v>45992</v>
      </c>
      <c r="O40" s="168"/>
    </row>
    <row r="41" spans="1:17" ht="25.5" customHeight="1" x14ac:dyDescent="0.25">
      <c r="A41" s="206" t="s">
        <v>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 t="s">
        <v>60</v>
      </c>
      <c r="O41" s="209"/>
    </row>
    <row r="42" spans="1:17" ht="15" x14ac:dyDescent="0.25">
      <c r="A42" s="165" t="s">
        <v>3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210" t="s">
        <v>3</v>
      </c>
      <c r="O42" s="211"/>
    </row>
    <row r="43" spans="1:17" ht="15.75" thickBot="1" x14ac:dyDescent="0.3">
      <c r="A43" s="269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1"/>
    </row>
    <row r="44" spans="1:17" ht="3.75" customHeight="1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22">
        <v>0.88</v>
      </c>
    </row>
    <row r="61" spans="17:17" x14ac:dyDescent="0.25">
      <c r="Q61" s="22">
        <v>0.9</v>
      </c>
    </row>
  </sheetData>
  <mergeCells count="76"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A29:M29"/>
    <mergeCell ref="N29:O29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N10:O10"/>
    <mergeCell ref="A11:D11"/>
    <mergeCell ref="F11:G11"/>
    <mergeCell ref="L24:O24"/>
    <mergeCell ref="D25:G25"/>
    <mergeCell ref="H25:K25"/>
    <mergeCell ref="A13:O13"/>
    <mergeCell ref="A16:B16"/>
    <mergeCell ref="L25:O25"/>
    <mergeCell ref="I9:I10"/>
    <mergeCell ref="J9:K10"/>
    <mergeCell ref="L9:O9"/>
    <mergeCell ref="L10:M10"/>
    <mergeCell ref="H9:H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9:M39"/>
    <mergeCell ref="N39:O39"/>
    <mergeCell ref="A40:M40"/>
    <mergeCell ref="N40:O40"/>
    <mergeCell ref="A36:M36"/>
    <mergeCell ref="N36:O36"/>
    <mergeCell ref="A37:M37"/>
    <mergeCell ref="N37:O37"/>
    <mergeCell ref="A38:M38"/>
    <mergeCell ref="N38:O38"/>
  </mergeCells>
  <dataValidations count="1">
    <dataValidation type="list" allowBlank="1" showInputMessage="1" showErrorMessage="1" sqref="J11:O11" xr:uid="{00000000-0002-0000-08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SET SP Sta.Mría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STA MARIA2020</vt:lpstr>
      <vt:lpstr>'STA MARIA2020'!Área_de_impresión</vt:lpstr>
      <vt:lpstr>'SET SP Sta.Mría'!Títulos_a_imprimir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MIGUEL ANTONIO</cp:lastModifiedBy>
  <cp:lastPrinted>2023-11-07T19:33:59Z</cp:lastPrinted>
  <dcterms:created xsi:type="dcterms:W3CDTF">2010-03-16T20:37:23Z</dcterms:created>
  <dcterms:modified xsi:type="dcterms:W3CDTF">2026-07-02T15:14:42Z</dcterms:modified>
</cp:coreProperties>
</file>